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1468048aff8456/TCA Admin Documents/TCAA/Customers/FY 2023-2024 Draft Lease Documents/"/>
    </mc:Choice>
  </mc:AlternateContent>
  <xr:revisionPtr revIDLastSave="246" documentId="8_{625F806C-9B07-49AB-8D26-F6A8748513AE}" xr6:coauthVersionLast="47" xr6:coauthVersionMax="47" xr10:uidLastSave="{92AAD247-613A-43C4-BAFD-4A9731D0F157}"/>
  <bookViews>
    <workbookView xWindow="-28920" yWindow="-120" windowWidth="29040" windowHeight="15840" activeTab="1" xr2:uid="{817CDF33-612A-434A-85E0-94CE49C2F707}"/>
  </bookViews>
  <sheets>
    <sheet name="Proposed Rate Card 2023" sheetId="7" r:id="rId1"/>
    <sheet name="Draft 2023 Rate Card" sheetId="6" r:id="rId2"/>
    <sheet name="INCREASE CALCULATIONS" sheetId="5" r:id="rId3"/>
    <sheet name="2022 OCT RATES" sheetId="1" r:id="rId4"/>
    <sheet name="JAT CALCULATIONS" sheetId="4" r:id="rId5"/>
  </sheets>
  <definedNames>
    <definedName name="_xlnm.Print_Area" localSheetId="3">'2022 OCT RATES'!$A$37:$T$61</definedName>
    <definedName name="_xlnm.Print_Area" localSheetId="1">'Draft 2023 Rate Card'!$A$1:$U$36</definedName>
    <definedName name="_xlnm.Print_Area" localSheetId="4">'JAT CALCULATIONS'!$A$1:$T$26</definedName>
    <definedName name="_xlnm.Print_Area" localSheetId="0">'Proposed Rate Card 2023'!$A$1:$T$36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59" i="5" l="1"/>
  <c r="O59" i="5" s="1"/>
  <c r="F12" i="5"/>
  <c r="C42" i="5" s="1"/>
  <c r="D42" i="5" s="1"/>
  <c r="E42" i="5" s="1"/>
  <c r="O57" i="5"/>
  <c r="O58" i="5"/>
  <c r="O60" i="5"/>
  <c r="O61" i="5"/>
  <c r="O62" i="5"/>
  <c r="O63" i="5"/>
  <c r="O64" i="5"/>
  <c r="O65" i="5"/>
  <c r="O66" i="5"/>
  <c r="O56" i="5"/>
  <c r="N57" i="5"/>
  <c r="N58" i="5"/>
  <c r="N60" i="5"/>
  <c r="N61" i="5"/>
  <c r="N62" i="5"/>
  <c r="N63" i="5"/>
  <c r="N64" i="5"/>
  <c r="N65" i="5"/>
  <c r="N66" i="5"/>
  <c r="N56" i="5"/>
  <c r="L64" i="5"/>
  <c r="L63" i="5"/>
  <c r="L56" i="5"/>
  <c r="I68" i="5"/>
  <c r="L66" i="5"/>
  <c r="L65" i="5"/>
  <c r="L62" i="5"/>
  <c r="L61" i="5"/>
  <c r="L60" i="5"/>
  <c r="L58" i="5"/>
  <c r="L57" i="5"/>
  <c r="S12" i="6"/>
  <c r="S13" i="6"/>
  <c r="S14" i="6"/>
  <c r="S15" i="6"/>
  <c r="L48" i="5"/>
  <c r="C71" i="5"/>
  <c r="D71" i="5" s="1"/>
  <c r="E71" i="5" s="1"/>
  <c r="J11" i="6"/>
  <c r="K12" i="5"/>
  <c r="L12" i="5" s="1"/>
  <c r="O12" i="5" s="1"/>
  <c r="J12" i="5"/>
  <c r="H12" i="5"/>
  <c r="C70" i="5" s="1"/>
  <c r="D70" i="5" s="1"/>
  <c r="E70" i="5" s="1"/>
  <c r="G12" i="5"/>
  <c r="C56" i="5" s="1"/>
  <c r="D56" i="5" s="1"/>
  <c r="E56" i="5" s="1"/>
  <c r="J12" i="1"/>
  <c r="S12" i="1" s="1"/>
  <c r="I12" i="1"/>
  <c r="L18" i="7"/>
  <c r="L17" i="7"/>
  <c r="J10" i="7"/>
  <c r="L16" i="7"/>
  <c r="L15" i="7"/>
  <c r="L14" i="7"/>
  <c r="L13" i="7"/>
  <c r="I16" i="7"/>
  <c r="I11" i="7"/>
  <c r="I10" i="7"/>
  <c r="I9" i="7"/>
  <c r="H18" i="7"/>
  <c r="I18" i="7" s="1"/>
  <c r="H17" i="7"/>
  <c r="I17" i="7" s="1"/>
  <c r="H16" i="7"/>
  <c r="H15" i="7"/>
  <c r="I15" i="7" s="1"/>
  <c r="H14" i="7"/>
  <c r="I14" i="7" s="1"/>
  <c r="H13" i="7"/>
  <c r="I13" i="7" s="1"/>
  <c r="H11" i="7"/>
  <c r="J11" i="7" s="1"/>
  <c r="H10" i="7"/>
  <c r="H9" i="7"/>
  <c r="J9" i="7" s="1"/>
  <c r="E20" i="7"/>
  <c r="K9" i="5"/>
  <c r="L9" i="5" s="1"/>
  <c r="K10" i="5"/>
  <c r="L10" i="5" s="1"/>
  <c r="K11" i="5"/>
  <c r="L11" i="5" s="1"/>
  <c r="K13" i="5"/>
  <c r="K14" i="5"/>
  <c r="K15" i="5"/>
  <c r="K16" i="5"/>
  <c r="K17" i="5"/>
  <c r="K18" i="5"/>
  <c r="K19" i="5"/>
  <c r="J13" i="5"/>
  <c r="J9" i="5"/>
  <c r="J10" i="5"/>
  <c r="J11" i="5"/>
  <c r="L13" i="5"/>
  <c r="T27" i="6"/>
  <c r="E20" i="6"/>
  <c r="M18" i="6"/>
  <c r="M14" i="6"/>
  <c r="J10" i="6"/>
  <c r="K10" i="6" s="1"/>
  <c r="T10" i="6" s="1"/>
  <c r="F9" i="5"/>
  <c r="F10" i="5"/>
  <c r="F11" i="5"/>
  <c r="F13" i="5"/>
  <c r="F14" i="5"/>
  <c r="F15" i="5"/>
  <c r="F16" i="5"/>
  <c r="F17" i="5"/>
  <c r="F18" i="5"/>
  <c r="F19" i="5"/>
  <c r="H9" i="5"/>
  <c r="H10" i="5"/>
  <c r="H11" i="5"/>
  <c r="H13" i="5"/>
  <c r="H14" i="5"/>
  <c r="C72" i="5" s="1"/>
  <c r="D72" i="5" s="1"/>
  <c r="E72" i="5" s="1"/>
  <c r="H15" i="5"/>
  <c r="H16" i="5"/>
  <c r="H17" i="5"/>
  <c r="H18" i="5"/>
  <c r="H19" i="5"/>
  <c r="J14" i="5"/>
  <c r="L14" i="5" s="1"/>
  <c r="J15" i="5"/>
  <c r="L15" i="5" s="1"/>
  <c r="J16" i="5"/>
  <c r="L16" i="5" s="1"/>
  <c r="J17" i="5"/>
  <c r="L17" i="5" s="1"/>
  <c r="J18" i="5"/>
  <c r="L18" i="5" s="1"/>
  <c r="L49" i="5"/>
  <c r="L47" i="5"/>
  <c r="L46" i="5"/>
  <c r="L45" i="5"/>
  <c r="L44" i="5"/>
  <c r="L43" i="5"/>
  <c r="L41" i="5"/>
  <c r="L40" i="5"/>
  <c r="L39" i="5"/>
  <c r="I51" i="5"/>
  <c r="L67" i="5" l="1"/>
  <c r="M67" i="5" s="1"/>
  <c r="N67" i="5" s="1"/>
  <c r="L12" i="1"/>
  <c r="K12" i="1"/>
  <c r="M12" i="1"/>
  <c r="I12" i="6"/>
  <c r="J12" i="6"/>
  <c r="K12" i="6" s="1"/>
  <c r="S17" i="6"/>
  <c r="M17" i="6"/>
  <c r="I16" i="6"/>
  <c r="M16" i="6"/>
  <c r="S16" i="6"/>
  <c r="M13" i="6"/>
  <c r="I14" i="6"/>
  <c r="M15" i="6"/>
  <c r="S10" i="6"/>
  <c r="I10" i="6"/>
  <c r="M12" i="5"/>
  <c r="N12" i="5"/>
  <c r="N19" i="6"/>
  <c r="L9" i="7"/>
  <c r="J15" i="7"/>
  <c r="K15" i="7" s="1"/>
  <c r="J14" i="7"/>
  <c r="K14" i="7" s="1"/>
  <c r="M19" i="7"/>
  <c r="J18" i="7"/>
  <c r="K18" i="7" s="1"/>
  <c r="J13" i="7"/>
  <c r="J17" i="7"/>
  <c r="J16" i="7"/>
  <c r="I18" i="6"/>
  <c r="I9" i="6"/>
  <c r="J9" i="6"/>
  <c r="K9" i="6" s="1"/>
  <c r="S9" i="6"/>
  <c r="K11" i="6"/>
  <c r="T11" i="6" s="1"/>
  <c r="S19" i="6"/>
  <c r="I11" i="6"/>
  <c r="S18" i="6"/>
  <c r="S11" i="6"/>
  <c r="I15" i="6"/>
  <c r="I13" i="6"/>
  <c r="I17" i="6"/>
  <c r="N10" i="6"/>
  <c r="L10" i="6"/>
  <c r="M10" i="6"/>
  <c r="L50" i="5"/>
  <c r="M50" i="5" s="1"/>
  <c r="N50" i="5" s="1"/>
  <c r="C68" i="5"/>
  <c r="D68" i="5" s="1"/>
  <c r="E68" i="5" s="1"/>
  <c r="C73" i="5"/>
  <c r="F73" i="5" s="1"/>
  <c r="C76" i="5"/>
  <c r="C77" i="5"/>
  <c r="F77" i="5" s="1"/>
  <c r="C69" i="5"/>
  <c r="D69" i="5" s="1"/>
  <c r="E69" i="5" s="1"/>
  <c r="F71" i="5"/>
  <c r="C74" i="5"/>
  <c r="F74" i="5" s="1"/>
  <c r="C75" i="5"/>
  <c r="F75" i="5" s="1"/>
  <c r="C67" i="5"/>
  <c r="D67" i="5" s="1"/>
  <c r="G10" i="5"/>
  <c r="C54" i="5" s="1"/>
  <c r="D54" i="5" s="1"/>
  <c r="E54" i="5" s="1"/>
  <c r="G11" i="5"/>
  <c r="C55" i="5" s="1"/>
  <c r="D55" i="5" s="1"/>
  <c r="E55" i="5" s="1"/>
  <c r="G13" i="5"/>
  <c r="C57" i="5" s="1"/>
  <c r="D57" i="5" s="1"/>
  <c r="E57" i="5" s="1"/>
  <c r="G14" i="5"/>
  <c r="C58" i="5" s="1"/>
  <c r="G15" i="5"/>
  <c r="C59" i="5" s="1"/>
  <c r="G16" i="5"/>
  <c r="C60" i="5" s="1"/>
  <c r="G17" i="5"/>
  <c r="C61" i="5" s="1"/>
  <c r="G18" i="5"/>
  <c r="C62" i="5" s="1"/>
  <c r="G19" i="5"/>
  <c r="C63" i="5" s="1"/>
  <c r="C40" i="5"/>
  <c r="D40" i="5" s="1"/>
  <c r="E40" i="5" s="1"/>
  <c r="C41" i="5"/>
  <c r="D41" i="5" s="1"/>
  <c r="E41" i="5" s="1"/>
  <c r="C43" i="5"/>
  <c r="C44" i="5"/>
  <c r="F44" i="5" s="1"/>
  <c r="C45" i="5"/>
  <c r="F45" i="5" s="1"/>
  <c r="C46" i="5"/>
  <c r="F46" i="5" s="1"/>
  <c r="C47" i="5"/>
  <c r="F47" i="5" s="1"/>
  <c r="C48" i="5"/>
  <c r="F48" i="5" s="1"/>
  <c r="C49" i="5"/>
  <c r="F49" i="5" s="1"/>
  <c r="G9" i="5"/>
  <c r="C53" i="5" s="1"/>
  <c r="D53" i="5" s="1"/>
  <c r="C39" i="5"/>
  <c r="D39" i="5" s="1"/>
  <c r="D20" i="5"/>
  <c r="O19" i="5"/>
  <c r="N18" i="5"/>
  <c r="N17" i="5"/>
  <c r="N16" i="5"/>
  <c r="N15" i="5"/>
  <c r="N14" i="5"/>
  <c r="N13" i="5"/>
  <c r="L11" i="6" l="1"/>
  <c r="T12" i="6"/>
  <c r="N12" i="6"/>
  <c r="M12" i="6"/>
  <c r="L12" i="6"/>
  <c r="K13" i="6"/>
  <c r="J13" i="6"/>
  <c r="K15" i="6"/>
  <c r="J15" i="6"/>
  <c r="K18" i="6"/>
  <c r="J18" i="6"/>
  <c r="K16" i="6"/>
  <c r="J16" i="6"/>
  <c r="K14" i="6"/>
  <c r="J14" i="6"/>
  <c r="K17" i="6"/>
  <c r="L17" i="6" s="1"/>
  <c r="J17" i="6"/>
  <c r="S9" i="7"/>
  <c r="S15" i="7"/>
  <c r="M9" i="7"/>
  <c r="K9" i="7"/>
  <c r="M15" i="7"/>
  <c r="S18" i="7"/>
  <c r="M18" i="7"/>
  <c r="S14" i="7"/>
  <c r="M14" i="7"/>
  <c r="K16" i="7"/>
  <c r="M16" i="7"/>
  <c r="S16" i="7"/>
  <c r="M17" i="7"/>
  <c r="S17" i="7"/>
  <c r="K17" i="7"/>
  <c r="M13" i="7"/>
  <c r="S13" i="7"/>
  <c r="K13" i="7"/>
  <c r="M11" i="7"/>
  <c r="L11" i="7"/>
  <c r="S11" i="7"/>
  <c r="K11" i="7"/>
  <c r="S10" i="7"/>
  <c r="K10" i="7"/>
  <c r="M10" i="7"/>
  <c r="L10" i="7"/>
  <c r="T9" i="6"/>
  <c r="N9" i="6"/>
  <c r="M9" i="6"/>
  <c r="L9" i="6"/>
  <c r="L15" i="6"/>
  <c r="M11" i="6"/>
  <c r="N11" i="6"/>
  <c r="N13" i="6"/>
  <c r="D62" i="5"/>
  <c r="E62" i="5" s="1"/>
  <c r="F62" i="5"/>
  <c r="D58" i="5"/>
  <c r="E58" i="5" s="1"/>
  <c r="F58" i="5"/>
  <c r="F72" i="5"/>
  <c r="D61" i="5"/>
  <c r="E61" i="5" s="1"/>
  <c r="F61" i="5"/>
  <c r="F57" i="5"/>
  <c r="D60" i="5"/>
  <c r="E60" i="5" s="1"/>
  <c r="F60" i="5"/>
  <c r="D76" i="5"/>
  <c r="E76" i="5" s="1"/>
  <c r="F76" i="5"/>
  <c r="D43" i="5"/>
  <c r="E43" i="5" s="1"/>
  <c r="F43" i="5"/>
  <c r="D63" i="5"/>
  <c r="E63" i="5" s="1"/>
  <c r="F63" i="5"/>
  <c r="D59" i="5"/>
  <c r="E59" i="5" s="1"/>
  <c r="F59" i="5"/>
  <c r="E67" i="5"/>
  <c r="D74" i="5"/>
  <c r="E74" i="5" s="1"/>
  <c r="D75" i="5"/>
  <c r="E75" i="5" s="1"/>
  <c r="D77" i="5"/>
  <c r="E77" i="5" s="1"/>
  <c r="D73" i="5"/>
  <c r="E73" i="5" s="1"/>
  <c r="D49" i="5"/>
  <c r="E49" i="5" s="1"/>
  <c r="D48" i="5"/>
  <c r="E48" i="5" s="1"/>
  <c r="D44" i="5"/>
  <c r="E44" i="5" s="1"/>
  <c r="E53" i="5"/>
  <c r="E39" i="5"/>
  <c r="D47" i="5"/>
  <c r="E47" i="5" s="1"/>
  <c r="D46" i="5"/>
  <c r="E46" i="5" s="1"/>
  <c r="D45" i="5"/>
  <c r="E45" i="5" s="1"/>
  <c r="N11" i="5"/>
  <c r="M11" i="5"/>
  <c r="O11" i="5"/>
  <c r="N10" i="5"/>
  <c r="O10" i="5"/>
  <c r="M10" i="5"/>
  <c r="N9" i="5"/>
  <c r="M9" i="5"/>
  <c r="O9" i="5"/>
  <c r="M13" i="5"/>
  <c r="O13" i="5"/>
  <c r="O14" i="5"/>
  <c r="M14" i="5"/>
  <c r="M15" i="5"/>
  <c r="O15" i="5"/>
  <c r="M16" i="5"/>
  <c r="O16" i="5"/>
  <c r="M17" i="5"/>
  <c r="O17" i="5"/>
  <c r="M18" i="5"/>
  <c r="O18" i="5"/>
  <c r="J25" i="4"/>
  <c r="M25" i="4" s="1"/>
  <c r="I25" i="4"/>
  <c r="H25" i="4"/>
  <c r="I23" i="4"/>
  <c r="I22" i="4"/>
  <c r="I21" i="4"/>
  <c r="I20" i="4"/>
  <c r="F23" i="4"/>
  <c r="H23" i="4" s="1"/>
  <c r="E16" i="4"/>
  <c r="F14" i="4"/>
  <c r="J14" i="4" s="1"/>
  <c r="F13" i="4"/>
  <c r="J13" i="4" s="1"/>
  <c r="F12" i="4"/>
  <c r="J12" i="4" s="1"/>
  <c r="F11" i="4"/>
  <c r="J11" i="4" s="1"/>
  <c r="F10" i="4"/>
  <c r="J10" i="4" s="1"/>
  <c r="F9" i="4"/>
  <c r="J9" i="4" s="1"/>
  <c r="F7" i="4"/>
  <c r="J7" i="4" s="1"/>
  <c r="F6" i="4"/>
  <c r="J6" i="4" s="1"/>
  <c r="F5" i="4"/>
  <c r="F17" i="4" s="1"/>
  <c r="I19" i="1"/>
  <c r="I18" i="1"/>
  <c r="I17" i="1"/>
  <c r="I16" i="1"/>
  <c r="I15" i="1"/>
  <c r="I14" i="1"/>
  <c r="I13" i="1"/>
  <c r="I11" i="1"/>
  <c r="I10" i="1"/>
  <c r="I9" i="1"/>
  <c r="N17" i="6" l="1"/>
  <c r="T17" i="6"/>
  <c r="T16" i="6"/>
  <c r="L16" i="6"/>
  <c r="N16" i="6"/>
  <c r="T15" i="6"/>
  <c r="N15" i="6"/>
  <c r="T14" i="6"/>
  <c r="L14" i="6"/>
  <c r="N14" i="6"/>
  <c r="T18" i="6"/>
  <c r="N18" i="6"/>
  <c r="L18" i="6"/>
  <c r="T13" i="6"/>
  <c r="L13" i="6"/>
  <c r="L25" i="4"/>
  <c r="E64" i="5"/>
  <c r="D64" i="5"/>
  <c r="S20" i="7"/>
  <c r="S21" i="7" s="1"/>
  <c r="S22" i="7" s="1"/>
  <c r="D78" i="5"/>
  <c r="E78" i="5"/>
  <c r="E50" i="5"/>
  <c r="K12" i="4"/>
  <c r="J23" i="4"/>
  <c r="L23" i="4"/>
  <c r="F21" i="4"/>
  <c r="H21" i="4" s="1"/>
  <c r="K25" i="4"/>
  <c r="F22" i="4"/>
  <c r="H22" i="4" s="1"/>
  <c r="J5" i="4"/>
  <c r="F20" i="4"/>
  <c r="H20" i="4" s="1"/>
  <c r="T20" i="6" l="1"/>
  <c r="T21" i="6" s="1"/>
  <c r="T22" i="6" s="1"/>
  <c r="L20" i="4"/>
  <c r="J20" i="4"/>
  <c r="K7" i="4"/>
  <c r="J17" i="4"/>
  <c r="J21" i="4"/>
  <c r="L21" i="4"/>
  <c r="K23" i="4"/>
  <c r="M23" i="4"/>
  <c r="J22" i="4"/>
  <c r="L22" i="4"/>
  <c r="L16" i="1"/>
  <c r="H16" i="1"/>
  <c r="J16" i="1" s="1"/>
  <c r="R16" i="1"/>
  <c r="K20" i="4" l="1"/>
  <c r="M20" i="4"/>
  <c r="M22" i="4"/>
  <c r="K22" i="4"/>
  <c r="M21" i="4"/>
  <c r="K21" i="4"/>
  <c r="K16" i="1"/>
  <c r="M16" i="1"/>
  <c r="S16" i="1"/>
  <c r="L18" i="1" l="1"/>
  <c r="L17" i="1"/>
  <c r="L15" i="1"/>
  <c r="L14" i="1"/>
  <c r="L13" i="1"/>
  <c r="H18" i="1"/>
  <c r="J18" i="1" s="1"/>
  <c r="S18" i="1" s="1"/>
  <c r="H17" i="1"/>
  <c r="J17" i="1" s="1"/>
  <c r="S17" i="1" s="1"/>
  <c r="H15" i="1"/>
  <c r="J15" i="1" s="1"/>
  <c r="S15" i="1" s="1"/>
  <c r="H14" i="1"/>
  <c r="J14" i="1" s="1"/>
  <c r="H13" i="1"/>
  <c r="J13" i="1" s="1"/>
  <c r="S13" i="1" s="1"/>
  <c r="K14" i="1" l="1"/>
  <c r="S14" i="1"/>
  <c r="R17" i="1"/>
  <c r="R15" i="1"/>
  <c r="R14" i="1"/>
  <c r="R13" i="1"/>
  <c r="R11" i="1"/>
  <c r="R10" i="1"/>
  <c r="R9" i="1"/>
  <c r="M19" i="1"/>
  <c r="E20" i="1"/>
  <c r="H11" i="1" l="1"/>
  <c r="H10" i="1"/>
  <c r="J9" i="1" l="1"/>
  <c r="L9" i="1" s="1"/>
  <c r="H9" i="1"/>
  <c r="J10" i="1"/>
  <c r="J11" i="1"/>
  <c r="L10" i="1" l="1"/>
  <c r="M10" i="1"/>
  <c r="K10" i="1"/>
  <c r="S10" i="1"/>
  <c r="M18" i="1"/>
  <c r="L11" i="1"/>
  <c r="S11" i="1"/>
  <c r="S9" i="1"/>
  <c r="K18" i="1"/>
  <c r="M11" i="1"/>
  <c r="M15" i="1"/>
  <c r="K13" i="1"/>
  <c r="M17" i="1"/>
  <c r="M9" i="1"/>
  <c r="K9" i="1"/>
  <c r="K17" i="1"/>
  <c r="K15" i="1"/>
  <c r="M13" i="1"/>
  <c r="K11" i="1"/>
  <c r="M14" i="1"/>
  <c r="S20" i="1" l="1"/>
  <c r="S21" i="1" s="1"/>
  <c r="S22" i="1" l="1"/>
</calcChain>
</file>

<file path=xl/sharedStrings.xml><?xml version="1.0" encoding="utf-8"?>
<sst xmlns="http://schemas.openxmlformats.org/spreadsheetml/2006/main" count="331" uniqueCount="107">
  <si>
    <t>Type</t>
  </si>
  <si>
    <t>Units</t>
  </si>
  <si>
    <t>Base Rate</t>
  </si>
  <si>
    <t>Annualized</t>
  </si>
  <si>
    <t>Total Annual</t>
  </si>
  <si>
    <t>Daily</t>
  </si>
  <si>
    <t>Prorata</t>
  </si>
  <si>
    <t>"T" Hangars</t>
  </si>
  <si>
    <t>Shade Hangars</t>
  </si>
  <si>
    <t>Monthly</t>
  </si>
  <si>
    <t xml:space="preserve"> Per Day</t>
  </si>
  <si>
    <t>New leases have a term through 9/30/XX as all hangar leases renew each October 1st.</t>
  </si>
  <si>
    <t>Tri-County   Airport   Authority</t>
  </si>
  <si>
    <t>next fiscal year commencing on the next October 1st.</t>
  </si>
  <si>
    <t>Approx.</t>
  </si>
  <si>
    <t>Square  Ft.</t>
  </si>
  <si>
    <t>(1)</t>
  </si>
  <si>
    <t>(2)</t>
  </si>
  <si>
    <t>Hangar area = 3,422 + office 1,218 = 4,640 SF.</t>
  </si>
  <si>
    <t xml:space="preserve">Rates are set each fiscal year and can change without notice for new tenants taking possession for a partial year once the TCAA has set the rates for the </t>
  </si>
  <si>
    <t>Square</t>
  </si>
  <si>
    <t>Foot</t>
  </si>
  <si>
    <t>Less Tax</t>
  </si>
  <si>
    <t>Current</t>
  </si>
  <si>
    <t>Rents</t>
  </si>
  <si>
    <t>New</t>
  </si>
  <si>
    <t>TCAA   Hanagr  Rents</t>
  </si>
  <si>
    <t>Budget</t>
  </si>
  <si>
    <t>Gross</t>
  </si>
  <si>
    <t>C 1</t>
  </si>
  <si>
    <t>C 2</t>
  </si>
  <si>
    <t>Box (A)</t>
  </si>
  <si>
    <t>Box (B, D, E)</t>
  </si>
  <si>
    <t>Tie Down</t>
  </si>
  <si>
    <t>C 1 Hangar area = 3,300, office +/- 1,500 + finished upstairs</t>
  </si>
  <si>
    <t>For partial month, count day following lease effective date.</t>
  </si>
  <si>
    <t xml:space="preserve"> @95%</t>
  </si>
  <si>
    <t>C 3 (Negotiated Rate)</t>
  </si>
  <si>
    <t>Sq Ft</t>
  </si>
  <si>
    <t>Rent - Net</t>
  </si>
  <si>
    <t>Rate/SF</t>
  </si>
  <si>
    <t xml:space="preserve"> % Total SqFt</t>
  </si>
  <si>
    <t>Box (New G)</t>
  </si>
  <si>
    <t>Double Box (F)</t>
  </si>
  <si>
    <t>Ave SF Rate</t>
  </si>
  <si>
    <t>SF Rate</t>
  </si>
  <si>
    <t>Proposed</t>
  </si>
  <si>
    <t>Box Ave SF</t>
  </si>
  <si>
    <t>Box SF Rate Constant</t>
  </si>
  <si>
    <t>Total Aircraft Parking Areas</t>
  </si>
  <si>
    <t>*</t>
  </si>
  <si>
    <t>HANGAR    RATE    CARD</t>
  </si>
  <si>
    <t>Tie Down $10/night to maximum of $20, waived up to 7 days w/fuel purchase</t>
  </si>
  <si>
    <t>Monthly = $20.00 + Tenant fuel discount of $.20/gallon.</t>
  </si>
  <si>
    <t>Tax @ 7.5%</t>
  </si>
  <si>
    <t>2022 = 7.5%*</t>
  </si>
  <si>
    <t>*Holmes County added 1.5% local option to the FL 6.0%</t>
  </si>
  <si>
    <t>(3)</t>
  </si>
  <si>
    <t>C1</t>
  </si>
  <si>
    <t>C2</t>
  </si>
  <si>
    <t>C3</t>
  </si>
  <si>
    <t>BOX A</t>
  </si>
  <si>
    <t>DOUBLE BOX F</t>
  </si>
  <si>
    <t>BOX - NEW G</t>
  </si>
  <si>
    <t>"T" HANGAR</t>
  </si>
  <si>
    <t>SHADE HANGARS</t>
  </si>
  <si>
    <t>TIE DOWN</t>
  </si>
  <si>
    <t>Base Rent</t>
  </si>
  <si>
    <t>Tax payable</t>
  </si>
  <si>
    <t>Total Collected</t>
  </si>
  <si>
    <t>Annual increase/unit</t>
  </si>
  <si>
    <t>Monthly increase /unit</t>
  </si>
  <si>
    <t>Annual increase all units combined</t>
  </si>
  <si>
    <t>Rates   From   October 1, 2022</t>
  </si>
  <si>
    <t>New Rate</t>
  </si>
  <si>
    <t>Tie Down $10.50/night to maximum of $21, waived up to 7 days w/fuel purchase</t>
  </si>
  <si>
    <t>Monthly = $21.00 + Tenant fuel discount of $.20/gallon.</t>
  </si>
  <si>
    <t>C 3 (Negotiated Rate) *</t>
  </si>
  <si>
    <t>Any hangar that does not have a flyable aircraft in the hangar will be charged and additional $200 per month</t>
  </si>
  <si>
    <t>Prior Year</t>
  </si>
  <si>
    <t>Discounts Taken</t>
  </si>
  <si>
    <t>Difference</t>
  </si>
  <si>
    <t>TCAA   Hangar  Rents</t>
  </si>
  <si>
    <t>C 1 (Negotiated Rate) *</t>
  </si>
  <si>
    <t>C 2 (Negotiated Rate) *</t>
  </si>
  <si>
    <t>Hangar area = 3,304 + office 1,218 =4,522SF.</t>
  </si>
  <si>
    <t>C 4  (Negotiated Rate)</t>
  </si>
  <si>
    <t xml:space="preserve">C 4 </t>
  </si>
  <si>
    <t>C 1 (Negotiated Rate)</t>
  </si>
  <si>
    <t>C 2 (Negotiated Rate)</t>
  </si>
  <si>
    <t>C 4 (Negotiated Rate) *</t>
  </si>
  <si>
    <t>2022 = 7.5%**</t>
  </si>
  <si>
    <t>**Holmes County added 1.5% local option to the FL 6.0%</t>
  </si>
  <si>
    <t>* Chairman has board's approval to negiotate a different rate if necessary.</t>
  </si>
  <si>
    <t>(4)</t>
  </si>
  <si>
    <t>Hangar area = 3,300, office +/- 1,500 + finished upstairs</t>
  </si>
  <si>
    <t>Hangar area = 5,024, office 1,020 = 6,044 SF</t>
  </si>
  <si>
    <t>Rates   From   October 1, 2023</t>
  </si>
  <si>
    <t>PROPOSED 2023-2024 HANGAR    RATE    CARD</t>
  </si>
  <si>
    <t>C 4  (Negotiated Rate) *</t>
  </si>
  <si>
    <t>C 4</t>
  </si>
  <si>
    <t>BOX (B,D,E)</t>
  </si>
  <si>
    <t>Draft 2023-2024 HANGAR    RATE    CARD</t>
  </si>
  <si>
    <t>BJW05252023</t>
  </si>
  <si>
    <t>BJW05252022</t>
  </si>
  <si>
    <t>monthly</t>
  </si>
  <si>
    <t>annually with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</si>
</sst>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0_);\(0\)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2"/>
      <color theme="1"/>
      <name val="Arial Black"/>
      <family val="2"/>
    </font>
    <font>
      <sz val="11"/>
      <color theme="1"/>
      <name val="Calibri"/>
      <family val="2"/>
      <scheme val="minor"/>
    </font>
    <font>
      <u/>
      <sz val="14"/>
      <color theme="1"/>
      <name val="Arial Black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3" fontId="1" fillId="0" borderId="0" xfId="0" applyNumberFormat="1" applyFont="1" applyAlignment="1">
      <alignment horizontal="center"/>
    </xf>
    <xf numFmtId="10" fontId="2" fillId="0" borderId="0" xfId="0" applyNumberFormat="1" applyFont="1" applyAlignment="1">
      <alignment horizontal="center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4" fontId="0" fillId="0" borderId="0" xfId="0" applyNumberFormat="1"/>
    <xf numFmtId="44" fontId="0" fillId="0" borderId="5" xfId="0" applyNumberFormat="1" applyBorder="1" applyAlignment="1">
      <alignment horizontal="center"/>
    </xf>
    <xf numFmtId="49" fontId="0" fillId="0" borderId="0" xfId="0" applyNumberFormat="1" applyAlignment="1">
      <alignment horizontal="center"/>
    </xf>
    <xf numFmtId="44" fontId="0" fillId="0" borderId="7" xfId="0" applyNumberFormat="1" applyBorder="1"/>
    <xf numFmtId="0" fontId="0" fillId="0" borderId="8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left"/>
    </xf>
    <xf numFmtId="3" fontId="0" fillId="0" borderId="0" xfId="0" applyNumberFormat="1" applyAlignment="1">
      <alignment horizontal="center"/>
    </xf>
    <xf numFmtId="10" fontId="0" fillId="0" borderId="0" xfId="0" applyNumberFormat="1" applyAlignment="1">
      <alignment horizontal="center"/>
    </xf>
    <xf numFmtId="3" fontId="1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3" fontId="0" fillId="2" borderId="0" xfId="0" applyNumberFormat="1" applyFill="1" applyAlignment="1">
      <alignment horizontal="center"/>
    </xf>
    <xf numFmtId="0" fontId="1" fillId="2" borderId="0" xfId="0" applyFont="1" applyFill="1"/>
    <xf numFmtId="44" fontId="0" fillId="2" borderId="0" xfId="0" applyNumberFormat="1" applyFill="1"/>
    <xf numFmtId="44" fontId="0" fillId="2" borderId="0" xfId="0" applyNumberFormat="1" applyFill="1" applyAlignment="1">
      <alignment horizontal="center"/>
    </xf>
    <xf numFmtId="0" fontId="0" fillId="0" borderId="2" xfId="0" applyBorder="1" applyAlignment="1">
      <alignment horizontal="center"/>
    </xf>
    <xf numFmtId="3" fontId="1" fillId="2" borderId="7" xfId="0" applyNumberFormat="1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4" fontId="0" fillId="2" borderId="7" xfId="0" applyNumberFormat="1" applyFill="1" applyBorder="1" applyAlignment="1">
      <alignment horizontal="center"/>
    </xf>
    <xf numFmtId="44" fontId="0" fillId="3" borderId="0" xfId="0" applyNumberFormat="1" applyFill="1"/>
    <xf numFmtId="0" fontId="2" fillId="3" borderId="0" xfId="0" applyFont="1" applyFill="1" applyAlignment="1">
      <alignment horizontal="center"/>
    </xf>
    <xf numFmtId="44" fontId="1" fillId="3" borderId="0" xfId="0" applyNumberFormat="1" applyFont="1" applyFill="1" applyAlignment="1">
      <alignment horizontal="center"/>
    </xf>
    <xf numFmtId="0" fontId="1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/>
    <xf numFmtId="0" fontId="1" fillId="2" borderId="4" xfId="0" applyFont="1" applyFill="1" applyBorder="1"/>
    <xf numFmtId="44" fontId="0" fillId="2" borderId="5" xfId="0" applyNumberFormat="1" applyFill="1" applyBorder="1"/>
    <xf numFmtId="0" fontId="1" fillId="2" borderId="6" xfId="0" applyFont="1" applyFill="1" applyBorder="1"/>
    <xf numFmtId="44" fontId="0" fillId="3" borderId="7" xfId="0" applyNumberFormat="1" applyFill="1" applyBorder="1"/>
    <xf numFmtId="44" fontId="0" fillId="0" borderId="7" xfId="0" applyNumberFormat="1" applyBorder="1" applyAlignment="1">
      <alignment horizontal="center"/>
    </xf>
    <xf numFmtId="44" fontId="0" fillId="2" borderId="8" xfId="0" applyNumberFormat="1" applyFill="1" applyBorder="1"/>
    <xf numFmtId="10" fontId="5" fillId="0" borderId="0" xfId="0" applyNumberFormat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/>
    </xf>
    <xf numFmtId="0" fontId="6" fillId="0" borderId="2" xfId="0" applyFont="1" applyBorder="1"/>
    <xf numFmtId="164" fontId="0" fillId="0" borderId="0" xfId="0" applyNumberFormat="1" applyAlignment="1">
      <alignment horizontal="center"/>
    </xf>
    <xf numFmtId="44" fontId="1" fillId="0" borderId="0" xfId="0" applyNumberFormat="1" applyFont="1" applyAlignment="1">
      <alignment horizontal="center"/>
    </xf>
    <xf numFmtId="9" fontId="2" fillId="4" borderId="0" xfId="0" applyNumberFormat="1" applyFont="1" applyFill="1" applyAlignment="1">
      <alignment horizontal="center"/>
    </xf>
    <xf numFmtId="44" fontId="0" fillId="4" borderId="0" xfId="0" applyNumberFormat="1" applyFill="1"/>
    <xf numFmtId="0" fontId="0" fillId="4" borderId="11" xfId="0" applyFill="1" applyBorder="1" applyAlignment="1">
      <alignment horizontal="center"/>
    </xf>
    <xf numFmtId="44" fontId="1" fillId="4" borderId="9" xfId="0" applyNumberFormat="1" applyFont="1" applyFill="1" applyBorder="1" applyAlignment="1">
      <alignment horizontal="center"/>
    </xf>
    <xf numFmtId="9" fontId="2" fillId="5" borderId="0" xfId="0" applyNumberFormat="1" applyFont="1" applyFill="1" applyAlignment="1">
      <alignment horizontal="center"/>
    </xf>
    <xf numFmtId="44" fontId="0" fillId="5" borderId="0" xfId="0" applyNumberFormat="1" applyFill="1"/>
    <xf numFmtId="0" fontId="0" fillId="5" borderId="11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44" fontId="1" fillId="5" borderId="9" xfId="0" applyNumberFormat="1" applyFont="1" applyFill="1" applyBorder="1" applyAlignment="1">
      <alignment horizontal="center"/>
    </xf>
    <xf numFmtId="44" fontId="1" fillId="5" borderId="14" xfId="1" applyFont="1" applyFill="1" applyBorder="1" applyAlignment="1">
      <alignment horizontal="center"/>
    </xf>
    <xf numFmtId="9" fontId="2" fillId="6" borderId="0" xfId="0" applyNumberFormat="1" applyFont="1" applyFill="1" applyAlignment="1">
      <alignment horizontal="center"/>
    </xf>
    <xf numFmtId="44" fontId="0" fillId="6" borderId="0" xfId="0" applyNumberFormat="1" applyFill="1"/>
    <xf numFmtId="0" fontId="0" fillId="4" borderId="12" xfId="0" applyFill="1" applyBorder="1"/>
    <xf numFmtId="44" fontId="1" fillId="4" borderId="14" xfId="0" applyNumberFormat="1" applyFont="1" applyFill="1" applyBorder="1" applyAlignment="1">
      <alignment horizontal="center"/>
    </xf>
    <xf numFmtId="3" fontId="1" fillId="4" borderId="17" xfId="0" applyNumberFormat="1" applyFont="1" applyFill="1" applyBorder="1" applyAlignment="1">
      <alignment horizontal="center"/>
    </xf>
    <xf numFmtId="44" fontId="1" fillId="6" borderId="9" xfId="0" applyNumberFormat="1" applyFont="1" applyFill="1" applyBorder="1"/>
    <xf numFmtId="0" fontId="0" fillId="6" borderId="11" xfId="0" applyFill="1" applyBorder="1"/>
    <xf numFmtId="0" fontId="0" fillId="6" borderId="12" xfId="0" applyFill="1" applyBorder="1"/>
    <xf numFmtId="44" fontId="1" fillId="6" borderId="14" xfId="0" applyNumberFormat="1" applyFont="1" applyFill="1" applyBorder="1"/>
    <xf numFmtId="10" fontId="0" fillId="0" borderId="19" xfId="0" applyNumberFormat="1" applyBorder="1" applyAlignment="1">
      <alignment horizontal="center"/>
    </xf>
    <xf numFmtId="44" fontId="0" fillId="0" borderId="18" xfId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44" fontId="0" fillId="0" borderId="1" xfId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0" xfId="1" applyFont="1" applyBorder="1"/>
    <xf numFmtId="0" fontId="0" fillId="0" borderId="9" xfId="0" applyBorder="1"/>
    <xf numFmtId="44" fontId="0" fillId="0" borderId="9" xfId="1" applyFont="1" applyBorder="1"/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9" fontId="0" fillId="0" borderId="0" xfId="0" applyNumberFormat="1" applyAlignment="1">
      <alignment horizontal="center"/>
    </xf>
    <xf numFmtId="44" fontId="0" fillId="0" borderId="0" xfId="1" applyFont="1" applyFill="1" applyBorder="1" applyAlignment="1">
      <alignment horizontal="center"/>
    </xf>
    <xf numFmtId="9" fontId="0" fillId="0" borderId="0" xfId="0" applyNumberFormat="1"/>
    <xf numFmtId="44" fontId="1" fillId="0" borderId="0" xfId="0" applyNumberFormat="1" applyFont="1"/>
    <xf numFmtId="44" fontId="0" fillId="0" borderId="0" xfId="1" applyFont="1" applyBorder="1"/>
    <xf numFmtId="44" fontId="0" fillId="0" borderId="0" xfId="1" applyFont="1"/>
    <xf numFmtId="44" fontId="0" fillId="0" borderId="21" xfId="1" applyFont="1" applyBorder="1"/>
    <xf numFmtId="0" fontId="1" fillId="0" borderId="9" xfId="0" applyFont="1" applyBorder="1"/>
    <xf numFmtId="3" fontId="1" fillId="0" borderId="9" xfId="0" applyNumberFormat="1" applyFont="1" applyBorder="1" applyAlignment="1">
      <alignment horizontal="center"/>
    </xf>
    <xf numFmtId="44" fontId="0" fillId="0" borderId="9" xfId="0" applyNumberFormat="1" applyBorder="1"/>
    <xf numFmtId="44" fontId="0" fillId="5" borderId="9" xfId="0" applyNumberFormat="1" applyFill="1" applyBorder="1"/>
    <xf numFmtId="49" fontId="0" fillId="0" borderId="9" xfId="0" applyNumberFormat="1" applyBorder="1" applyAlignment="1">
      <alignment horizontal="center"/>
    </xf>
    <xf numFmtId="44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0" fillId="0" borderId="9" xfId="0" applyBorder="1" applyAlignment="1">
      <alignment horizontal="right"/>
    </xf>
    <xf numFmtId="44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44" fontId="1" fillId="6" borderId="13" xfId="0" applyNumberFormat="1" applyFont="1" applyFill="1" applyBorder="1"/>
    <xf numFmtId="0" fontId="1" fillId="6" borderId="14" xfId="0" applyFont="1" applyFill="1" applyBorder="1"/>
    <xf numFmtId="0" fontId="1" fillId="6" borderId="15" xfId="0" applyFont="1" applyFill="1" applyBorder="1"/>
    <xf numFmtId="44" fontId="1" fillId="6" borderId="16" xfId="0" applyNumberFormat="1" applyFont="1" applyFill="1" applyBorder="1"/>
    <xf numFmtId="0" fontId="1" fillId="6" borderId="17" xfId="0" applyFont="1" applyFill="1" applyBorder="1"/>
    <xf numFmtId="44" fontId="1" fillId="5" borderId="13" xfId="0" applyNumberFormat="1" applyFont="1" applyFill="1" applyBorder="1" applyAlignment="1">
      <alignment horizontal="center"/>
    </xf>
    <xf numFmtId="0" fontId="1" fillId="5" borderId="14" xfId="0" applyFont="1" applyFill="1" applyBorder="1" applyAlignment="1">
      <alignment horizontal="center"/>
    </xf>
    <xf numFmtId="3" fontId="1" fillId="5" borderId="15" xfId="0" applyNumberFormat="1" applyFont="1" applyFill="1" applyBorder="1" applyAlignment="1">
      <alignment horizontal="center"/>
    </xf>
    <xf numFmtId="44" fontId="1" fillId="5" borderId="16" xfId="1" applyFont="1" applyFill="1" applyBorder="1" applyAlignment="1">
      <alignment horizontal="center"/>
    </xf>
    <xf numFmtId="44" fontId="1" fillId="5" borderId="16" xfId="0" applyNumberFormat="1" applyFont="1" applyFill="1" applyBorder="1"/>
    <xf numFmtId="44" fontId="2" fillId="5" borderId="17" xfId="1" applyFont="1" applyFill="1" applyBorder="1" applyAlignment="1">
      <alignment horizontal="center"/>
    </xf>
    <xf numFmtId="44" fontId="1" fillId="4" borderId="13" xfId="0" applyNumberFormat="1" applyFont="1" applyFill="1" applyBorder="1" applyAlignment="1">
      <alignment horizontal="center"/>
    </xf>
    <xf numFmtId="0" fontId="1" fillId="4" borderId="14" xfId="0" applyFont="1" applyFill="1" applyBorder="1"/>
    <xf numFmtId="3" fontId="1" fillId="4" borderId="15" xfId="0" applyNumberFormat="1" applyFont="1" applyFill="1" applyBorder="1" applyAlignment="1">
      <alignment horizontal="center"/>
    </xf>
    <xf numFmtId="44" fontId="1" fillId="4" borderId="16" xfId="1" applyFont="1" applyFill="1" applyBorder="1" applyAlignment="1">
      <alignment horizontal="center"/>
    </xf>
    <xf numFmtId="44" fontId="1" fillId="4" borderId="16" xfId="0" applyNumberFormat="1" applyFont="1" applyFill="1" applyBorder="1" applyAlignment="1">
      <alignment horizontal="center"/>
    </xf>
    <xf numFmtId="9" fontId="1" fillId="6" borderId="10" xfId="0" applyNumberFormat="1" applyFont="1" applyFill="1" applyBorder="1"/>
    <xf numFmtId="9" fontId="1" fillId="5" borderId="10" xfId="0" applyNumberFormat="1" applyFont="1" applyFill="1" applyBorder="1" applyAlignment="1">
      <alignment horizontal="center"/>
    </xf>
    <xf numFmtId="9" fontId="1" fillId="4" borderId="1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147BB-A6AD-4D6E-8432-856DB2D5D8C0}">
  <dimension ref="B2:T75"/>
  <sheetViews>
    <sheetView topLeftCell="A8" zoomScaleNormal="100" workbookViewId="0">
      <selection activeCell="C6" sqref="C6"/>
    </sheetView>
  </sheetViews>
  <sheetFormatPr defaultRowHeight="15" x14ac:dyDescent="0.25"/>
  <cols>
    <col min="1" max="1" width="2.7109375" customWidth="1"/>
    <col min="2" max="2" width="3.7109375" customWidth="1"/>
    <col min="3" max="3" width="41.7109375" customWidth="1"/>
    <col min="4" max="6" width="12.7109375" customWidth="1"/>
    <col min="7" max="7" width="4.7109375" customWidth="1"/>
    <col min="8" max="8" width="18.28515625" customWidth="1"/>
    <col min="9" max="11" width="12.7109375" customWidth="1"/>
    <col min="12" max="12" width="10.5703125" bestFit="1" customWidth="1"/>
    <col min="13" max="13" width="20" customWidth="1"/>
    <col min="14" max="15" width="2.7109375" customWidth="1"/>
    <col min="17" max="18" width="12.7109375" customWidth="1"/>
    <col min="19" max="19" width="18" customWidth="1"/>
  </cols>
  <sheetData>
    <row r="2" spans="2:20" ht="32.25" customHeight="1" x14ac:dyDescent="0.45">
      <c r="B2" s="129" t="s">
        <v>98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</row>
    <row r="3" spans="2:20" ht="15.75" thickBot="1" x14ac:dyDescent="0.3"/>
    <row r="4" spans="2:20" x14ac:dyDescent="0.25">
      <c r="B4" s="2"/>
      <c r="C4" s="58"/>
      <c r="D4" s="58"/>
      <c r="E4" s="3"/>
      <c r="F4" s="3"/>
      <c r="G4" s="3"/>
      <c r="H4" s="3"/>
      <c r="I4" s="3"/>
      <c r="J4" s="3"/>
      <c r="K4" s="3"/>
      <c r="L4" s="3"/>
      <c r="M4" s="4"/>
      <c r="P4" s="2"/>
      <c r="Q4" s="3"/>
      <c r="R4" s="3"/>
      <c r="S4" s="3"/>
      <c r="T4" s="4"/>
    </row>
    <row r="5" spans="2:20" ht="18.75" x14ac:dyDescent="0.4">
      <c r="B5" s="5"/>
      <c r="C5" t="s">
        <v>104</v>
      </c>
      <c r="E5" s="130" t="s">
        <v>12</v>
      </c>
      <c r="F5" s="130"/>
      <c r="G5" s="130"/>
      <c r="H5" s="130"/>
      <c r="I5" s="130"/>
      <c r="J5" s="1"/>
      <c r="M5" s="6"/>
      <c r="P5" s="5"/>
      <c r="R5" s="9" t="s">
        <v>82</v>
      </c>
      <c r="T5" s="6"/>
    </row>
    <row r="6" spans="2:20" ht="18.75" x14ac:dyDescent="0.4">
      <c r="B6" s="5"/>
      <c r="E6" s="130" t="s">
        <v>97</v>
      </c>
      <c r="F6" s="130"/>
      <c r="G6" s="130"/>
      <c r="H6" s="130"/>
      <c r="I6" s="130"/>
      <c r="J6" s="1"/>
      <c r="M6" s="6"/>
      <c r="P6" s="5"/>
      <c r="T6" s="6"/>
    </row>
    <row r="7" spans="2:20" x14ac:dyDescent="0.25">
      <c r="B7" s="5"/>
      <c r="D7" s="7" t="s">
        <v>14</v>
      </c>
      <c r="E7" s="7"/>
      <c r="F7" s="7"/>
      <c r="G7" s="7"/>
      <c r="H7" s="7"/>
      <c r="I7" s="7" t="s">
        <v>55</v>
      </c>
      <c r="J7" s="7"/>
      <c r="K7" s="8"/>
      <c r="L7" s="7" t="s">
        <v>20</v>
      </c>
      <c r="M7" s="22" t="s">
        <v>5</v>
      </c>
      <c r="P7" s="5"/>
      <c r="Q7" s="7" t="s">
        <v>23</v>
      </c>
      <c r="R7" s="7" t="s">
        <v>25</v>
      </c>
      <c r="S7" s="7" t="s">
        <v>25</v>
      </c>
      <c r="T7" s="6"/>
    </row>
    <row r="8" spans="2:20" x14ac:dyDescent="0.25">
      <c r="B8" s="5"/>
      <c r="C8" s="9" t="s">
        <v>0</v>
      </c>
      <c r="D8" s="9" t="s">
        <v>15</v>
      </c>
      <c r="E8" s="9" t="s">
        <v>1</v>
      </c>
      <c r="F8" s="9" t="s">
        <v>2</v>
      </c>
      <c r="G8" s="9"/>
      <c r="H8" s="9" t="s">
        <v>3</v>
      </c>
      <c r="I8" s="21" t="s">
        <v>54</v>
      </c>
      <c r="J8" s="9" t="s">
        <v>4</v>
      </c>
      <c r="K8" s="9" t="s">
        <v>9</v>
      </c>
      <c r="L8" s="9" t="s">
        <v>21</v>
      </c>
      <c r="M8" s="23" t="s">
        <v>6</v>
      </c>
      <c r="P8" s="5"/>
      <c r="Q8" s="9" t="s">
        <v>24</v>
      </c>
      <c r="R8" s="9" t="s">
        <v>24</v>
      </c>
      <c r="S8" s="9" t="s">
        <v>3</v>
      </c>
      <c r="T8" s="6"/>
    </row>
    <row r="9" spans="2:20" x14ac:dyDescent="0.25">
      <c r="B9" s="5"/>
      <c r="C9" s="98" t="s">
        <v>83</v>
      </c>
      <c r="D9" s="99">
        <v>4800</v>
      </c>
      <c r="E9" s="88">
        <v>1</v>
      </c>
      <c r="F9" s="100">
        <v>1302</v>
      </c>
      <c r="G9" s="102" t="s">
        <v>16</v>
      </c>
      <c r="H9" s="103">
        <f>+F9*12</f>
        <v>15624</v>
      </c>
      <c r="I9" s="103">
        <f>+F9*0.075</f>
        <v>97.649999999999991</v>
      </c>
      <c r="J9" s="103">
        <f>H9+I9</f>
        <v>15721.65</v>
      </c>
      <c r="K9" s="103">
        <f>+J9/12</f>
        <v>1310.1375</v>
      </c>
      <c r="L9" s="100">
        <f>+J9/D9</f>
        <v>3.2753437499999998</v>
      </c>
      <c r="M9" s="107">
        <f t="shared" ref="M9:M18" si="0">+J9/365</f>
        <v>43.073013698630135</v>
      </c>
      <c r="P9" s="5"/>
      <c r="Q9" s="103">
        <v>1240</v>
      </c>
      <c r="R9" s="100">
        <v>1302</v>
      </c>
      <c r="S9" s="100">
        <f>J9*E9</f>
        <v>15721.65</v>
      </c>
      <c r="T9" s="6"/>
    </row>
    <row r="10" spans="2:20" x14ac:dyDescent="0.25">
      <c r="B10" s="5"/>
      <c r="C10" s="98" t="s">
        <v>84</v>
      </c>
      <c r="D10" s="99">
        <v>2850</v>
      </c>
      <c r="E10" s="88">
        <v>1</v>
      </c>
      <c r="F10" s="100">
        <v>435.75</v>
      </c>
      <c r="G10" s="103"/>
      <c r="H10" s="103">
        <f>+F10*12</f>
        <v>5229</v>
      </c>
      <c r="I10" s="103">
        <f>+F10*0.075</f>
        <v>32.681249999999999</v>
      </c>
      <c r="J10" s="103">
        <f>+(H10+I10)</f>
        <v>5261.6812499999996</v>
      </c>
      <c r="K10" s="103">
        <f>+J10/12</f>
        <v>438.47343749999999</v>
      </c>
      <c r="L10" s="100">
        <f>+J10/D10</f>
        <v>1.8462039473684209</v>
      </c>
      <c r="M10" s="107">
        <f t="shared" si="0"/>
        <v>14.41556506849315</v>
      </c>
      <c r="P10" s="5"/>
      <c r="Q10" s="103">
        <v>415</v>
      </c>
      <c r="R10" s="100">
        <v>435.75</v>
      </c>
      <c r="S10" s="100">
        <f>J10*E10</f>
        <v>5261.6812499999996</v>
      </c>
      <c r="T10" s="6"/>
    </row>
    <row r="11" spans="2:20" x14ac:dyDescent="0.25">
      <c r="B11" s="5"/>
      <c r="C11" s="98" t="s">
        <v>77</v>
      </c>
      <c r="D11" s="99">
        <v>4522</v>
      </c>
      <c r="E11" s="88">
        <v>1</v>
      </c>
      <c r="F11" s="100">
        <v>866.25</v>
      </c>
      <c r="G11" s="102" t="s">
        <v>17</v>
      </c>
      <c r="H11" s="103">
        <f>+F11*12</f>
        <v>10395</v>
      </c>
      <c r="I11" s="103">
        <f>+F11*0.075</f>
        <v>64.96875</v>
      </c>
      <c r="J11" s="103">
        <f>+(H11+I11)</f>
        <v>10459.96875</v>
      </c>
      <c r="K11" s="103">
        <f t="shared" ref="K11:K18" si="1">+J11/12</f>
        <v>871.6640625</v>
      </c>
      <c r="L11" s="100">
        <f>+J11/D11</f>
        <v>2.3131288699690402</v>
      </c>
      <c r="M11" s="107">
        <f t="shared" si="0"/>
        <v>28.657448630136987</v>
      </c>
      <c r="P11" s="5"/>
      <c r="Q11" s="103">
        <v>825</v>
      </c>
      <c r="R11" s="100">
        <v>866.25</v>
      </c>
      <c r="S11" s="100">
        <f>J11*E11</f>
        <v>10459.96875</v>
      </c>
      <c r="T11" s="6"/>
    </row>
    <row r="12" spans="2:20" x14ac:dyDescent="0.25">
      <c r="B12" s="5"/>
      <c r="C12" s="98" t="s">
        <v>99</v>
      </c>
      <c r="D12" s="99">
        <v>6044</v>
      </c>
      <c r="E12" s="88">
        <v>1</v>
      </c>
      <c r="F12" s="100">
        <v>1260</v>
      </c>
      <c r="G12" s="102" t="s">
        <v>57</v>
      </c>
      <c r="H12" s="103"/>
      <c r="I12" s="103"/>
      <c r="J12" s="103"/>
      <c r="K12" s="103"/>
      <c r="L12" s="100"/>
      <c r="M12" s="107"/>
      <c r="P12" s="5"/>
      <c r="Q12" s="103"/>
      <c r="R12" s="100"/>
      <c r="S12" s="100"/>
      <c r="T12" s="6"/>
    </row>
    <row r="13" spans="2:20" x14ac:dyDescent="0.25">
      <c r="B13" s="5"/>
      <c r="C13" s="98" t="s">
        <v>31</v>
      </c>
      <c r="D13" s="99">
        <v>1403</v>
      </c>
      <c r="E13" s="88">
        <v>3</v>
      </c>
      <c r="F13" s="100">
        <v>283.5</v>
      </c>
      <c r="G13" s="103"/>
      <c r="H13" s="103">
        <f t="shared" ref="H13:H18" si="2">+F13*12*E13</f>
        <v>10206</v>
      </c>
      <c r="I13" s="103">
        <f t="shared" ref="I13:I18" si="3">+H13*0.075</f>
        <v>765.44999999999993</v>
      </c>
      <c r="J13" s="103">
        <f t="shared" ref="J13:J18" si="4">+H13*1.075</f>
        <v>10971.449999999999</v>
      </c>
      <c r="K13" s="103">
        <f t="shared" si="1"/>
        <v>914.28749999999991</v>
      </c>
      <c r="L13" s="100">
        <f>+F13/D13*12</f>
        <v>2.4248039914468995</v>
      </c>
      <c r="M13" s="107">
        <f t="shared" si="0"/>
        <v>30.058767123287669</v>
      </c>
      <c r="P13" s="5"/>
      <c r="Q13" s="103">
        <v>270</v>
      </c>
      <c r="R13" s="100">
        <v>283.5</v>
      </c>
      <c r="S13" s="100">
        <f t="shared" ref="S13:S18" si="5">J13</f>
        <v>10971.449999999999</v>
      </c>
      <c r="T13" s="6"/>
    </row>
    <row r="14" spans="2:20" x14ac:dyDescent="0.25">
      <c r="B14" s="5"/>
      <c r="C14" s="98" t="s">
        <v>32</v>
      </c>
      <c r="D14" s="99">
        <v>1281</v>
      </c>
      <c r="E14" s="88">
        <v>15</v>
      </c>
      <c r="F14" s="100">
        <v>273</v>
      </c>
      <c r="G14" s="103"/>
      <c r="H14" s="103">
        <f t="shared" si="2"/>
        <v>49140</v>
      </c>
      <c r="I14" s="103">
        <f t="shared" si="3"/>
        <v>3685.5</v>
      </c>
      <c r="J14" s="103">
        <f t="shared" si="4"/>
        <v>52825.5</v>
      </c>
      <c r="K14" s="103">
        <f>+J14/12</f>
        <v>4402.125</v>
      </c>
      <c r="L14" s="100">
        <f>F14/D14*12</f>
        <v>2.5573770491803276</v>
      </c>
      <c r="M14" s="107">
        <f t="shared" si="0"/>
        <v>144.72739726027396</v>
      </c>
      <c r="P14" s="5"/>
      <c r="Q14" s="103">
        <v>260</v>
      </c>
      <c r="R14" s="100">
        <v>273</v>
      </c>
      <c r="S14" s="100">
        <f t="shared" si="5"/>
        <v>52825.5</v>
      </c>
      <c r="T14" s="6"/>
    </row>
    <row r="15" spans="2:20" x14ac:dyDescent="0.25">
      <c r="B15" s="5"/>
      <c r="C15" s="98" t="s">
        <v>43</v>
      </c>
      <c r="D15" s="99">
        <v>1900</v>
      </c>
      <c r="E15" s="88">
        <v>4</v>
      </c>
      <c r="F15" s="100">
        <v>383.25</v>
      </c>
      <c r="G15" s="104"/>
      <c r="H15" s="103">
        <f t="shared" si="2"/>
        <v>18396</v>
      </c>
      <c r="I15" s="103">
        <f t="shared" si="3"/>
        <v>1379.7</v>
      </c>
      <c r="J15" s="103">
        <f t="shared" si="4"/>
        <v>19775.7</v>
      </c>
      <c r="K15" s="103">
        <f t="shared" si="1"/>
        <v>1647.9750000000001</v>
      </c>
      <c r="L15" s="100">
        <f>F15/D15*12</f>
        <v>2.4205263157894739</v>
      </c>
      <c r="M15" s="107">
        <f t="shared" si="0"/>
        <v>54.18</v>
      </c>
      <c r="P15" s="5"/>
      <c r="Q15" s="103">
        <v>365</v>
      </c>
      <c r="R15" s="100">
        <v>383.25</v>
      </c>
      <c r="S15" s="100">
        <f t="shared" si="5"/>
        <v>19775.7</v>
      </c>
      <c r="T15" s="6"/>
    </row>
    <row r="16" spans="2:20" x14ac:dyDescent="0.25">
      <c r="B16" s="5"/>
      <c r="C16" s="98" t="s">
        <v>42</v>
      </c>
      <c r="D16" s="99">
        <v>1407</v>
      </c>
      <c r="E16" s="88">
        <v>4</v>
      </c>
      <c r="F16" s="100">
        <v>299.25</v>
      </c>
      <c r="G16" s="103"/>
      <c r="H16" s="103">
        <f t="shared" si="2"/>
        <v>14364</v>
      </c>
      <c r="I16" s="103">
        <f t="shared" si="3"/>
        <v>1077.3</v>
      </c>
      <c r="J16" s="103">
        <f t="shared" si="4"/>
        <v>15441.3</v>
      </c>
      <c r="K16" s="103">
        <f t="shared" si="1"/>
        <v>1286.7749999999999</v>
      </c>
      <c r="L16" s="100">
        <f>F16/D16*12</f>
        <v>2.5522388059701493</v>
      </c>
      <c r="M16" s="107">
        <f t="shared" si="0"/>
        <v>42.304931506849314</v>
      </c>
      <c r="P16" s="5"/>
      <c r="Q16" s="103">
        <v>285</v>
      </c>
      <c r="R16" s="100">
        <v>299.25</v>
      </c>
      <c r="S16" s="100">
        <f t="shared" si="5"/>
        <v>15441.3</v>
      </c>
      <c r="T16" s="6"/>
    </row>
    <row r="17" spans="2:20" x14ac:dyDescent="0.25">
      <c r="B17" s="5"/>
      <c r="C17" s="98" t="s">
        <v>7</v>
      </c>
      <c r="D17" s="99">
        <v>985</v>
      </c>
      <c r="E17" s="88">
        <v>7</v>
      </c>
      <c r="F17" s="100">
        <v>220.5</v>
      </c>
      <c r="G17" s="103"/>
      <c r="H17" s="103">
        <f t="shared" si="2"/>
        <v>18522</v>
      </c>
      <c r="I17" s="103">
        <f t="shared" si="3"/>
        <v>1389.1499999999999</v>
      </c>
      <c r="J17" s="103">
        <f t="shared" si="4"/>
        <v>19911.149999999998</v>
      </c>
      <c r="K17" s="103">
        <f t="shared" si="1"/>
        <v>1659.2624999999998</v>
      </c>
      <c r="L17" s="100">
        <f>+F17/D17*12</f>
        <v>2.6862944162436548</v>
      </c>
      <c r="M17" s="107">
        <f t="shared" si="0"/>
        <v>54.551095890410956</v>
      </c>
      <c r="P17" s="5"/>
      <c r="Q17" s="103">
        <v>210</v>
      </c>
      <c r="R17" s="100">
        <v>220.5</v>
      </c>
      <c r="S17" s="100">
        <f t="shared" si="5"/>
        <v>19911.149999999998</v>
      </c>
      <c r="T17" s="6"/>
    </row>
    <row r="18" spans="2:20" x14ac:dyDescent="0.25">
      <c r="B18" s="5"/>
      <c r="C18" s="98" t="s">
        <v>8</v>
      </c>
      <c r="D18" s="99">
        <v>1209</v>
      </c>
      <c r="E18" s="88">
        <v>7</v>
      </c>
      <c r="F18" s="100">
        <v>63</v>
      </c>
      <c r="G18" s="103"/>
      <c r="H18" s="103">
        <f t="shared" si="2"/>
        <v>5292</v>
      </c>
      <c r="I18" s="103">
        <f t="shared" si="3"/>
        <v>396.9</v>
      </c>
      <c r="J18" s="103">
        <f t="shared" si="4"/>
        <v>5688.9</v>
      </c>
      <c r="K18" s="103">
        <f t="shared" si="1"/>
        <v>474.07499999999999</v>
      </c>
      <c r="L18" s="100">
        <f>+F18/D18*12</f>
        <v>0.62531017369727049</v>
      </c>
      <c r="M18" s="107">
        <f t="shared" si="0"/>
        <v>15.586027397260272</v>
      </c>
      <c r="P18" s="5"/>
      <c r="Q18" s="103">
        <v>60</v>
      </c>
      <c r="R18" s="100">
        <v>63</v>
      </c>
      <c r="S18" s="100">
        <f t="shared" si="5"/>
        <v>5688.9</v>
      </c>
      <c r="T18" s="6"/>
    </row>
    <row r="19" spans="2:20" x14ac:dyDescent="0.25">
      <c r="B19" s="5"/>
      <c r="C19" s="98" t="s">
        <v>33</v>
      </c>
      <c r="D19" s="99">
        <v>1209</v>
      </c>
      <c r="E19" s="105">
        <v>13</v>
      </c>
      <c r="F19" s="100">
        <v>21</v>
      </c>
      <c r="G19" s="102" t="s">
        <v>94</v>
      </c>
      <c r="H19" s="103" t="s">
        <v>10</v>
      </c>
      <c r="I19" s="103"/>
      <c r="J19" s="103"/>
      <c r="K19" s="103"/>
      <c r="L19" s="100"/>
      <c r="M19" s="107">
        <f>+(F19+I19)*12/365</f>
        <v>0.69041095890410964</v>
      </c>
      <c r="P19" s="5"/>
      <c r="Q19" s="103">
        <v>20</v>
      </c>
      <c r="R19" s="100">
        <v>21</v>
      </c>
      <c r="S19" s="86"/>
      <c r="T19" s="6"/>
    </row>
    <row r="20" spans="2:20" x14ac:dyDescent="0.25">
      <c r="B20" s="5"/>
      <c r="C20" s="106" t="s">
        <v>49</v>
      </c>
      <c r="D20" s="86"/>
      <c r="E20" s="88">
        <f>SUM(E9:E19)</f>
        <v>57</v>
      </c>
      <c r="F20" s="88"/>
      <c r="G20" s="88"/>
      <c r="H20" s="88"/>
      <c r="I20" s="88"/>
      <c r="J20" s="88"/>
      <c r="K20" s="88"/>
      <c r="L20" s="88"/>
      <c r="M20" s="108"/>
      <c r="P20" s="5"/>
      <c r="S20" s="100">
        <f>SUM(S9:S18)</f>
        <v>156057.29999999999</v>
      </c>
      <c r="T20" s="6" t="s">
        <v>28</v>
      </c>
    </row>
    <row r="21" spans="2:20" x14ac:dyDescent="0.25">
      <c r="B21" s="5"/>
      <c r="D21" s="12"/>
      <c r="E21" s="1"/>
      <c r="F21" s="1"/>
      <c r="G21" s="26" t="s">
        <v>16</v>
      </c>
      <c r="H21" t="s">
        <v>34</v>
      </c>
      <c r="K21" s="1"/>
      <c r="L21" s="1"/>
      <c r="M21" s="11"/>
      <c r="P21" s="5"/>
      <c r="S21" s="100">
        <f>S20-(S20*0.075)</f>
        <v>144353.0025</v>
      </c>
      <c r="T21" s="6" t="s">
        <v>22</v>
      </c>
    </row>
    <row r="22" spans="2:20" x14ac:dyDescent="0.25">
      <c r="B22" s="5"/>
      <c r="C22" s="12"/>
      <c r="D22" s="12"/>
      <c r="E22" s="1"/>
      <c r="F22" s="1"/>
      <c r="G22" s="26" t="s">
        <v>17</v>
      </c>
      <c r="H22" t="s">
        <v>85</v>
      </c>
      <c r="M22" s="11"/>
      <c r="P22" s="5"/>
      <c r="Q22" s="24"/>
      <c r="R22" s="1" t="s">
        <v>27</v>
      </c>
      <c r="S22" s="100">
        <f>+S21*0.95</f>
        <v>137135.35237499999</v>
      </c>
      <c r="T22" s="6" t="s">
        <v>36</v>
      </c>
    </row>
    <row r="23" spans="2:20" ht="15.75" thickBot="1" x14ac:dyDescent="0.3">
      <c r="B23" s="5"/>
      <c r="C23" s="12"/>
      <c r="D23" s="12"/>
      <c r="E23" s="1"/>
      <c r="F23" s="1"/>
      <c r="G23" s="26" t="s">
        <v>57</v>
      </c>
      <c r="H23" t="s">
        <v>96</v>
      </c>
      <c r="M23" s="11"/>
      <c r="P23" s="16"/>
      <c r="Q23" s="27"/>
      <c r="R23" s="17"/>
      <c r="S23" s="17"/>
      <c r="T23" s="28"/>
    </row>
    <row r="24" spans="2:20" x14ac:dyDescent="0.25">
      <c r="B24" s="5"/>
      <c r="C24" s="8"/>
      <c r="D24" s="8"/>
      <c r="E24" s="7"/>
      <c r="F24" s="7"/>
      <c r="G24" s="26" t="s">
        <v>94</v>
      </c>
      <c r="H24" t="s">
        <v>75</v>
      </c>
      <c r="M24" s="11"/>
    </row>
    <row r="25" spans="2:20" x14ac:dyDescent="0.25">
      <c r="B25" s="5"/>
      <c r="C25" s="8"/>
      <c r="D25" s="8"/>
      <c r="E25" s="7"/>
      <c r="F25" s="7"/>
      <c r="G25" s="7"/>
      <c r="H25" s="30" t="s">
        <v>76</v>
      </c>
      <c r="I25" s="7"/>
      <c r="J25" s="7"/>
      <c r="K25" s="7"/>
      <c r="L25" s="7"/>
      <c r="M25" s="11"/>
      <c r="Q25" s="131"/>
      <c r="R25" s="131"/>
      <c r="S25" s="95"/>
    </row>
    <row r="26" spans="2:20" x14ac:dyDescent="0.25">
      <c r="B26" s="5"/>
      <c r="C26" s="8" t="s">
        <v>11</v>
      </c>
      <c r="D26" s="8"/>
      <c r="E26" s="7"/>
      <c r="F26" s="7"/>
      <c r="G26" s="7"/>
      <c r="H26" s="7"/>
      <c r="I26" s="7"/>
      <c r="J26" s="7"/>
      <c r="K26" s="7"/>
      <c r="L26" s="7"/>
      <c r="M26" s="11"/>
      <c r="Q26" s="132"/>
      <c r="R26" s="132"/>
      <c r="S26" s="95"/>
    </row>
    <row r="27" spans="2:20" x14ac:dyDescent="0.25">
      <c r="B27" s="5"/>
      <c r="C27" s="8" t="s">
        <v>35</v>
      </c>
      <c r="D27" s="8"/>
      <c r="M27" s="6"/>
      <c r="R27" s="56"/>
      <c r="S27" s="96"/>
    </row>
    <row r="28" spans="2:20" x14ac:dyDescent="0.25">
      <c r="B28" s="5"/>
      <c r="C28" s="8"/>
      <c r="D28" s="8"/>
      <c r="E28" s="7"/>
      <c r="F28" s="7"/>
      <c r="G28" s="7"/>
      <c r="H28" s="1"/>
      <c r="I28" s="1"/>
      <c r="J28" s="1"/>
      <c r="K28" s="1"/>
      <c r="L28" s="1"/>
      <c r="M28" s="11"/>
    </row>
    <row r="29" spans="2:20" x14ac:dyDescent="0.25">
      <c r="B29" s="5"/>
      <c r="C29" s="8" t="s">
        <v>78</v>
      </c>
      <c r="D29" s="8"/>
      <c r="E29" s="7"/>
      <c r="F29" s="7"/>
      <c r="G29" s="7"/>
      <c r="H29" s="1"/>
      <c r="I29" s="1"/>
      <c r="J29" s="1"/>
      <c r="K29" s="1"/>
      <c r="L29" s="1"/>
      <c r="M29" s="11"/>
    </row>
    <row r="30" spans="2:20" x14ac:dyDescent="0.25">
      <c r="B30" s="5"/>
      <c r="C30" s="8"/>
      <c r="D30" s="8"/>
      <c r="E30" s="7"/>
      <c r="F30" s="7"/>
      <c r="G30" s="7"/>
      <c r="H30" s="1"/>
      <c r="I30" s="1"/>
      <c r="J30" s="1"/>
      <c r="K30" s="1"/>
      <c r="L30" s="1"/>
      <c r="M30" s="11"/>
    </row>
    <row r="31" spans="2:20" x14ac:dyDescent="0.25">
      <c r="B31" s="5"/>
      <c r="C31" s="13" t="s">
        <v>19</v>
      </c>
      <c r="D31" s="13"/>
      <c r="E31" s="14"/>
      <c r="F31" s="14"/>
      <c r="G31" s="14"/>
      <c r="H31" s="14"/>
      <c r="I31" s="14"/>
      <c r="J31" s="14"/>
      <c r="K31" s="14"/>
      <c r="L31" s="14"/>
      <c r="M31" s="15"/>
    </row>
    <row r="32" spans="2:20" x14ac:dyDescent="0.25">
      <c r="B32" s="5"/>
      <c r="C32" s="13" t="s">
        <v>13</v>
      </c>
      <c r="D32" s="13"/>
      <c r="E32" s="14"/>
      <c r="F32" s="14"/>
      <c r="G32" s="14"/>
      <c r="H32" s="14"/>
      <c r="I32" s="14"/>
      <c r="J32" s="14"/>
      <c r="K32" s="14"/>
      <c r="L32" s="14"/>
      <c r="M32" s="15"/>
    </row>
    <row r="33" spans="2:13" ht="15.75" thickBot="1" x14ac:dyDescent="0.3">
      <c r="B33" s="16"/>
      <c r="C33" s="17"/>
      <c r="D33" s="17"/>
      <c r="E33" s="18"/>
      <c r="F33" s="18"/>
      <c r="G33" s="18"/>
      <c r="H33" s="18"/>
      <c r="I33" s="18"/>
      <c r="J33" s="18"/>
      <c r="K33" s="18"/>
      <c r="L33" s="18"/>
      <c r="M33" s="19"/>
    </row>
    <row r="34" spans="2:13" x14ac:dyDescent="0.25">
      <c r="E34" s="1"/>
      <c r="F34" s="1"/>
      <c r="G34" s="1"/>
      <c r="H34" s="1"/>
      <c r="I34" s="1"/>
      <c r="J34" s="1"/>
      <c r="K34" s="1"/>
      <c r="L34" s="1"/>
      <c r="M34" s="1"/>
    </row>
    <row r="35" spans="2:13" x14ac:dyDescent="0.25">
      <c r="C35" t="s">
        <v>56</v>
      </c>
      <c r="E35" s="1"/>
      <c r="F35" s="1"/>
      <c r="G35" s="1"/>
      <c r="H35" s="1"/>
      <c r="I35" s="1"/>
      <c r="J35" s="1"/>
      <c r="K35" s="1"/>
      <c r="L35" s="1"/>
      <c r="M35" s="1"/>
    </row>
    <row r="36" spans="2:13" x14ac:dyDescent="0.25">
      <c r="E36" s="1"/>
      <c r="F36" s="1"/>
      <c r="G36" s="1"/>
      <c r="H36" s="1"/>
      <c r="I36" s="1"/>
      <c r="J36" s="1"/>
      <c r="K36" s="1"/>
      <c r="L36" s="1"/>
      <c r="M36" s="1"/>
    </row>
    <row r="37" spans="2:13" x14ac:dyDescent="0.25">
      <c r="D37" s="90"/>
      <c r="E37" s="1"/>
      <c r="F37" s="89"/>
      <c r="G37" s="1"/>
      <c r="H37" s="1"/>
      <c r="I37" s="1"/>
      <c r="J37" s="1"/>
      <c r="K37" s="1"/>
      <c r="L37" s="1"/>
      <c r="M37" s="1"/>
    </row>
    <row r="38" spans="2:13" x14ac:dyDescent="0.25">
      <c r="D38" s="91"/>
      <c r="E38" s="1"/>
      <c r="F38" s="1"/>
      <c r="K38" s="1"/>
      <c r="L38" s="1"/>
      <c r="M38" s="1"/>
    </row>
    <row r="39" spans="2:13" x14ac:dyDescent="0.25">
      <c r="C39" s="8"/>
      <c r="D39" s="10"/>
      <c r="E39" s="10"/>
      <c r="F39" s="60"/>
      <c r="I39" s="95"/>
      <c r="J39" s="95"/>
      <c r="K39" s="1"/>
      <c r="L39" s="1"/>
      <c r="M39" s="1"/>
    </row>
    <row r="40" spans="2:13" x14ac:dyDescent="0.25">
      <c r="C40" s="8"/>
      <c r="D40" s="10"/>
      <c r="E40" s="10"/>
      <c r="F40" s="60"/>
      <c r="I40" s="95"/>
      <c r="J40" s="95"/>
      <c r="K40" s="1"/>
      <c r="L40" s="1"/>
      <c r="M40" s="1"/>
    </row>
    <row r="41" spans="2:13" x14ac:dyDescent="0.25">
      <c r="C41" s="8"/>
      <c r="D41" s="10"/>
      <c r="E41" s="10"/>
      <c r="F41" s="60"/>
      <c r="I41" s="95"/>
      <c r="J41" s="95"/>
      <c r="K41" s="1"/>
      <c r="L41" s="1"/>
      <c r="M41" s="1"/>
    </row>
    <row r="42" spans="2:13" x14ac:dyDescent="0.25">
      <c r="C42" s="8"/>
      <c r="D42" s="10"/>
      <c r="E42" s="10"/>
      <c r="F42" s="10"/>
      <c r="I42" s="95"/>
      <c r="J42" s="95"/>
      <c r="K42" s="1"/>
      <c r="L42" s="1"/>
      <c r="M42" s="1"/>
    </row>
    <row r="43" spans="2:13" x14ac:dyDescent="0.25">
      <c r="C43" s="8"/>
      <c r="D43" s="10"/>
      <c r="E43" s="10"/>
      <c r="F43" s="10"/>
      <c r="I43" s="95"/>
      <c r="J43" s="95"/>
      <c r="K43" s="32"/>
      <c r="L43" s="1"/>
      <c r="M43" s="1"/>
    </row>
    <row r="44" spans="2:13" x14ac:dyDescent="0.25">
      <c r="C44" s="8"/>
      <c r="D44" s="10"/>
      <c r="E44" s="10"/>
      <c r="F44" s="10"/>
      <c r="I44" s="95"/>
      <c r="J44" s="95"/>
      <c r="K44" s="1"/>
      <c r="L44" s="1"/>
      <c r="M44" s="1"/>
    </row>
    <row r="45" spans="2:13" x14ac:dyDescent="0.25">
      <c r="C45" s="8"/>
      <c r="D45" s="10"/>
      <c r="E45" s="10"/>
      <c r="F45" s="10"/>
      <c r="I45" s="95"/>
      <c r="J45" s="95"/>
      <c r="K45" s="1"/>
      <c r="L45" s="1"/>
      <c r="M45" s="1"/>
    </row>
    <row r="46" spans="2:13" x14ac:dyDescent="0.25">
      <c r="C46" s="8"/>
      <c r="D46" s="10"/>
      <c r="E46" s="10"/>
      <c r="F46" s="10"/>
      <c r="I46" s="95"/>
      <c r="J46" s="95"/>
      <c r="K46" s="1"/>
      <c r="L46" s="1"/>
      <c r="M46" s="1"/>
    </row>
    <row r="47" spans="2:13" x14ac:dyDescent="0.25">
      <c r="C47" s="8"/>
      <c r="D47" s="10"/>
      <c r="E47" s="10"/>
      <c r="F47" s="10"/>
      <c r="I47" s="95"/>
      <c r="J47" s="95"/>
      <c r="K47" s="32"/>
      <c r="L47" s="1"/>
      <c r="M47" s="1"/>
    </row>
    <row r="48" spans="2:13" x14ac:dyDescent="0.25">
      <c r="C48" s="8"/>
      <c r="D48" s="10"/>
      <c r="E48" s="10"/>
      <c r="F48" s="10"/>
      <c r="I48" s="95"/>
      <c r="J48" s="95"/>
      <c r="K48" s="1"/>
      <c r="L48" s="1"/>
      <c r="M48" s="1"/>
    </row>
    <row r="49" spans="3:15" x14ac:dyDescent="0.25">
      <c r="C49" s="8"/>
      <c r="D49" s="31"/>
      <c r="E49" s="92"/>
      <c r="F49" s="10"/>
      <c r="J49" s="95"/>
      <c r="K49" s="92"/>
      <c r="L49" s="92"/>
      <c r="M49" s="1"/>
    </row>
    <row r="50" spans="3:15" x14ac:dyDescent="0.25">
      <c r="C50" s="8"/>
      <c r="D50" s="20"/>
      <c r="E50" s="1"/>
      <c r="F50" s="31"/>
      <c r="G50" s="1"/>
      <c r="H50" s="1"/>
      <c r="I50" s="24"/>
      <c r="J50" s="32"/>
      <c r="K50" s="1"/>
      <c r="L50" s="128"/>
      <c r="M50" s="128"/>
    </row>
    <row r="51" spans="3:15" x14ac:dyDescent="0.25">
      <c r="D51" s="91"/>
      <c r="E51" s="1"/>
      <c r="F51" s="1"/>
      <c r="G51" s="1"/>
      <c r="H51" s="1"/>
      <c r="I51" s="32"/>
      <c r="J51" s="1"/>
      <c r="K51" s="1"/>
      <c r="L51" s="1"/>
    </row>
    <row r="52" spans="3:15" x14ac:dyDescent="0.25">
      <c r="C52" s="8"/>
      <c r="D52" s="10"/>
      <c r="E52" s="10"/>
      <c r="F52" s="60"/>
      <c r="G52" s="1"/>
      <c r="H52" s="1"/>
      <c r="I52" s="1"/>
      <c r="J52" s="1"/>
      <c r="K52" s="1"/>
      <c r="L52" s="1"/>
    </row>
    <row r="53" spans="3:15" x14ac:dyDescent="0.25">
      <c r="C53" s="8"/>
      <c r="D53" s="10"/>
      <c r="E53" s="10"/>
      <c r="F53" s="60"/>
      <c r="G53" s="1"/>
      <c r="H53" s="1"/>
      <c r="I53" s="1"/>
      <c r="J53" s="1"/>
      <c r="K53" s="1"/>
      <c r="L53" s="1"/>
    </row>
    <row r="54" spans="3:15" x14ac:dyDescent="0.25">
      <c r="C54" s="8"/>
      <c r="D54" s="10"/>
      <c r="E54" s="10"/>
      <c r="F54" s="60"/>
      <c r="G54" s="1"/>
      <c r="H54" s="9"/>
      <c r="I54" s="32"/>
      <c r="J54" s="1"/>
      <c r="K54" s="9"/>
      <c r="L54" s="1"/>
      <c r="O54" s="12"/>
    </row>
    <row r="55" spans="3:15" x14ac:dyDescent="0.25">
      <c r="C55" s="8"/>
      <c r="D55" s="10"/>
      <c r="E55" s="10"/>
      <c r="F55" s="10"/>
      <c r="G55" s="10"/>
      <c r="H55" s="60"/>
      <c r="I55" s="1"/>
      <c r="J55" s="10"/>
      <c r="K55" s="24"/>
      <c r="L55" s="10"/>
      <c r="O55" s="24"/>
    </row>
    <row r="56" spans="3:15" x14ac:dyDescent="0.25">
      <c r="C56" s="8"/>
      <c r="D56" s="10"/>
      <c r="E56" s="10"/>
      <c r="F56" s="10"/>
      <c r="G56" s="1"/>
      <c r="H56" s="1"/>
      <c r="I56" s="1"/>
      <c r="J56" s="10"/>
      <c r="K56" s="24"/>
      <c r="L56" s="10"/>
      <c r="O56" s="24"/>
    </row>
    <row r="57" spans="3:15" x14ac:dyDescent="0.25">
      <c r="C57" s="8"/>
      <c r="D57" s="10"/>
      <c r="E57" s="10"/>
      <c r="F57" s="10"/>
      <c r="G57" s="1"/>
      <c r="H57" s="1"/>
      <c r="I57" s="10"/>
      <c r="J57" s="10"/>
      <c r="K57" s="24"/>
      <c r="L57" s="10"/>
      <c r="O57" s="24"/>
    </row>
    <row r="58" spans="3:15" x14ac:dyDescent="0.25">
      <c r="C58" s="8"/>
      <c r="D58" s="10"/>
      <c r="E58" s="10"/>
      <c r="F58" s="10"/>
      <c r="G58" s="10"/>
      <c r="H58" s="10"/>
      <c r="I58" s="10"/>
      <c r="J58" s="10"/>
      <c r="K58" s="24"/>
      <c r="L58" s="10"/>
      <c r="O58" s="24"/>
    </row>
    <row r="59" spans="3:15" x14ac:dyDescent="0.25">
      <c r="C59" s="8"/>
      <c r="D59" s="10"/>
      <c r="E59" s="10"/>
      <c r="F59" s="10"/>
      <c r="G59" s="10"/>
      <c r="H59" s="10"/>
      <c r="I59" s="10"/>
      <c r="K59" s="24"/>
    </row>
    <row r="60" spans="3:15" x14ac:dyDescent="0.25">
      <c r="C60" s="8"/>
      <c r="D60" s="10"/>
      <c r="E60" s="10"/>
      <c r="F60" s="10"/>
      <c r="G60" s="10"/>
      <c r="H60" s="10"/>
      <c r="I60" s="10"/>
      <c r="J60" s="10"/>
      <c r="K60" s="24"/>
      <c r="L60" s="10"/>
      <c r="O60" s="24"/>
    </row>
    <row r="61" spans="3:15" x14ac:dyDescent="0.25">
      <c r="C61" s="8"/>
      <c r="D61" s="10"/>
      <c r="E61" s="10"/>
      <c r="F61" s="10"/>
      <c r="G61" s="10"/>
      <c r="H61" s="10"/>
    </row>
    <row r="62" spans="3:15" x14ac:dyDescent="0.25">
      <c r="D62" s="31"/>
      <c r="E62" s="92"/>
      <c r="F62" s="24"/>
      <c r="I62" s="10"/>
    </row>
    <row r="63" spans="3:15" x14ac:dyDescent="0.25">
      <c r="E63" s="56"/>
      <c r="F63" s="24"/>
      <c r="G63" s="10"/>
      <c r="H63" s="10"/>
      <c r="I63" s="10"/>
    </row>
    <row r="64" spans="3:15" x14ac:dyDescent="0.25">
      <c r="D64" s="93"/>
    </row>
    <row r="65" spans="3:6" x14ac:dyDescent="0.25">
      <c r="C65" s="8"/>
      <c r="D65" s="24"/>
      <c r="E65" s="24"/>
      <c r="F65" s="94"/>
    </row>
    <row r="66" spans="3:6" x14ac:dyDescent="0.25">
      <c r="C66" s="8"/>
      <c r="D66" s="24"/>
      <c r="E66" s="24"/>
      <c r="F66" s="94"/>
    </row>
    <row r="67" spans="3:6" x14ac:dyDescent="0.25">
      <c r="C67" s="8"/>
      <c r="D67" s="24"/>
      <c r="E67" s="24"/>
      <c r="F67" s="94"/>
    </row>
    <row r="68" spans="3:6" x14ac:dyDescent="0.25">
      <c r="C68" s="8"/>
      <c r="D68" s="24"/>
      <c r="E68" s="24"/>
      <c r="F68" s="24"/>
    </row>
    <row r="69" spans="3:6" x14ac:dyDescent="0.25">
      <c r="C69" s="8"/>
      <c r="D69" s="24"/>
      <c r="E69" s="24"/>
      <c r="F69" s="24"/>
    </row>
    <row r="70" spans="3:6" x14ac:dyDescent="0.25">
      <c r="C70" s="8"/>
      <c r="D70" s="24"/>
      <c r="E70" s="24"/>
      <c r="F70" s="24"/>
    </row>
    <row r="71" spans="3:6" x14ac:dyDescent="0.25">
      <c r="C71" s="8"/>
      <c r="D71" s="24"/>
      <c r="E71" s="24"/>
      <c r="F71" s="24"/>
    </row>
    <row r="72" spans="3:6" x14ac:dyDescent="0.25">
      <c r="C72" s="8"/>
      <c r="D72" s="24"/>
      <c r="E72" s="24"/>
      <c r="F72" s="24"/>
    </row>
    <row r="73" spans="3:6" x14ac:dyDescent="0.25">
      <c r="C73" s="8"/>
      <c r="D73" s="24"/>
      <c r="E73" s="24"/>
      <c r="F73" s="24"/>
    </row>
    <row r="74" spans="3:6" x14ac:dyDescent="0.25">
      <c r="C74" s="8"/>
      <c r="D74" s="24"/>
      <c r="E74" s="24"/>
      <c r="F74" s="24"/>
    </row>
    <row r="75" spans="3:6" x14ac:dyDescent="0.25">
      <c r="E75" s="24"/>
      <c r="F75" s="24"/>
    </row>
  </sheetData>
  <mergeCells count="6">
    <mergeCell ref="L50:M50"/>
    <mergeCell ref="B2:M2"/>
    <mergeCell ref="E5:I5"/>
    <mergeCell ref="E6:I6"/>
    <mergeCell ref="Q25:R25"/>
    <mergeCell ref="Q26:R26"/>
  </mergeCells>
  <pageMargins left="0.7" right="0.7" top="0.75" bottom="0.75" header="0.3" footer="0.3"/>
  <pageSetup paperSize="3" scale="77" orientation="landscape" r:id="rId1"/>
  <rowBreaks count="1" manualBreakCount="1">
    <brk id="3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13DAA0-4215-43CF-BA67-BFFD6104A488}">
  <dimension ref="B2:U75"/>
  <sheetViews>
    <sheetView tabSelected="1" topLeftCell="A2" zoomScaleNormal="100" workbookViewId="0">
      <selection activeCell="T9" sqref="T9"/>
    </sheetView>
  </sheetViews>
  <sheetFormatPr defaultRowHeight="15" x14ac:dyDescent="0.25"/>
  <cols>
    <col min="1" max="1" width="2.7109375" customWidth="1"/>
    <col min="2" max="2" width="3.7109375" customWidth="1"/>
    <col min="3" max="3" width="41.7109375" customWidth="1"/>
    <col min="4" max="7" width="12.7109375" customWidth="1"/>
    <col min="8" max="8" width="4.7109375" customWidth="1"/>
    <col min="9" max="9" width="18.28515625" customWidth="1"/>
    <col min="10" max="12" width="12.7109375" customWidth="1"/>
    <col min="13" max="13" width="10.5703125" bestFit="1" customWidth="1"/>
    <col min="14" max="14" width="20" customWidth="1"/>
    <col min="15" max="16" width="2.7109375" customWidth="1"/>
    <col min="18" max="19" width="12.7109375" customWidth="1"/>
    <col min="20" max="20" width="18" customWidth="1"/>
  </cols>
  <sheetData>
    <row r="2" spans="2:21" ht="32.25" customHeight="1" x14ac:dyDescent="0.45">
      <c r="B2" s="129" t="s">
        <v>102</v>
      </c>
      <c r="C2" s="129"/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</row>
    <row r="3" spans="2:21" ht="15.75" thickBot="1" x14ac:dyDescent="0.3"/>
    <row r="4" spans="2:21" x14ac:dyDescent="0.25">
      <c r="B4" s="2"/>
      <c r="C4" s="58"/>
      <c r="D4" s="58"/>
      <c r="E4" s="3"/>
      <c r="F4" s="3"/>
      <c r="G4" s="3"/>
      <c r="H4" s="3"/>
      <c r="I4" s="3"/>
      <c r="J4" s="3"/>
      <c r="K4" s="3"/>
      <c r="L4" s="3"/>
      <c r="M4" s="3"/>
      <c r="N4" s="4"/>
      <c r="Q4" s="2"/>
      <c r="R4" s="3"/>
      <c r="S4" s="3"/>
      <c r="T4" s="3"/>
      <c r="U4" s="4"/>
    </row>
    <row r="5" spans="2:21" ht="18.75" x14ac:dyDescent="0.4">
      <c r="B5" s="5"/>
      <c r="C5" t="s">
        <v>104</v>
      </c>
      <c r="E5" s="130" t="s">
        <v>12</v>
      </c>
      <c r="F5" s="130"/>
      <c r="G5" s="130"/>
      <c r="H5" s="130"/>
      <c r="I5" s="130"/>
      <c r="J5" s="130"/>
      <c r="K5" s="1"/>
      <c r="N5" s="6"/>
      <c r="Q5" s="5"/>
      <c r="S5" s="9" t="s">
        <v>82</v>
      </c>
      <c r="U5" s="6"/>
    </row>
    <row r="6" spans="2:21" ht="18.75" x14ac:dyDescent="0.4">
      <c r="B6" s="5"/>
      <c r="E6" s="130" t="s">
        <v>97</v>
      </c>
      <c r="F6" s="130"/>
      <c r="G6" s="130"/>
      <c r="H6" s="130"/>
      <c r="I6" s="130"/>
      <c r="J6" s="130"/>
      <c r="K6" s="1"/>
      <c r="N6" s="6"/>
      <c r="Q6" s="5"/>
      <c r="U6" s="6"/>
    </row>
    <row r="7" spans="2:21" x14ac:dyDescent="0.25">
      <c r="B7" s="5"/>
      <c r="D7" s="7" t="s">
        <v>14</v>
      </c>
      <c r="E7" s="7"/>
      <c r="F7" s="7"/>
      <c r="G7" s="7"/>
      <c r="H7" s="7"/>
      <c r="I7" s="7"/>
      <c r="J7" s="7" t="s">
        <v>55</v>
      </c>
      <c r="K7" s="7"/>
      <c r="L7" s="8"/>
      <c r="M7" s="7" t="s">
        <v>20</v>
      </c>
      <c r="N7" s="22" t="s">
        <v>5</v>
      </c>
      <c r="Q7" s="5"/>
      <c r="R7" s="7" t="s">
        <v>23</v>
      </c>
      <c r="S7" s="7" t="s">
        <v>25</v>
      </c>
      <c r="T7" s="7" t="s">
        <v>25</v>
      </c>
      <c r="U7" s="6"/>
    </row>
    <row r="8" spans="2:21" x14ac:dyDescent="0.25">
      <c r="B8" s="5"/>
      <c r="C8" s="9" t="s">
        <v>0</v>
      </c>
      <c r="D8" s="9" t="s">
        <v>15</v>
      </c>
      <c r="E8" s="9" t="s">
        <v>1</v>
      </c>
      <c r="F8" s="9" t="s">
        <v>2</v>
      </c>
      <c r="G8" s="65" t="s">
        <v>74</v>
      </c>
      <c r="H8" s="9"/>
      <c r="I8" s="9" t="s">
        <v>3</v>
      </c>
      <c r="J8" s="21" t="s">
        <v>54</v>
      </c>
      <c r="K8" s="9" t="s">
        <v>4</v>
      </c>
      <c r="L8" s="9" t="s">
        <v>9</v>
      </c>
      <c r="M8" s="9" t="s">
        <v>21</v>
      </c>
      <c r="N8" s="23" t="s">
        <v>6</v>
      </c>
      <c r="Q8" s="5"/>
      <c r="R8" s="9" t="s">
        <v>24</v>
      </c>
      <c r="S8" s="9" t="s">
        <v>24</v>
      </c>
      <c r="T8" s="9" t="s">
        <v>3</v>
      </c>
      <c r="U8" s="6"/>
    </row>
    <row r="9" spans="2:21" x14ac:dyDescent="0.25">
      <c r="B9" s="5"/>
      <c r="C9" s="98" t="s">
        <v>83</v>
      </c>
      <c r="D9" s="99">
        <v>4800</v>
      </c>
      <c r="E9" s="88">
        <v>1</v>
      </c>
      <c r="F9" s="100">
        <v>1302</v>
      </c>
      <c r="G9" s="101">
        <v>1341.06</v>
      </c>
      <c r="H9" s="102" t="s">
        <v>16</v>
      </c>
      <c r="I9" s="103">
        <f>+G9*12</f>
        <v>16092.72</v>
      </c>
      <c r="J9" s="103">
        <f>+G9*0.075</f>
        <v>100.5795</v>
      </c>
      <c r="K9" s="103">
        <f>+(G9+J9)*12</f>
        <v>17299.673999999999</v>
      </c>
      <c r="L9" s="103">
        <f>+K9/12</f>
        <v>1441.6395</v>
      </c>
      <c r="M9" s="100">
        <f>+K9/D9</f>
        <v>3.6040987499999999</v>
      </c>
      <c r="N9" s="107">
        <f t="shared" ref="N9:N18" si="0">+K9/365</f>
        <v>47.396367123287668</v>
      </c>
      <c r="Q9" s="5"/>
      <c r="R9" s="100">
        <v>1302</v>
      </c>
      <c r="S9" s="100">
        <f t="shared" ref="S9:S19" si="1">G9</f>
        <v>1341.06</v>
      </c>
      <c r="T9" s="100">
        <f>K9*E9</f>
        <v>17299.673999999999</v>
      </c>
      <c r="U9" s="6"/>
    </row>
    <row r="10" spans="2:21" x14ac:dyDescent="0.25">
      <c r="B10" s="5"/>
      <c r="C10" s="98" t="s">
        <v>84</v>
      </c>
      <c r="D10" s="99">
        <v>1360</v>
      </c>
      <c r="E10" s="88">
        <v>1</v>
      </c>
      <c r="F10" s="100">
        <v>435.75</v>
      </c>
      <c r="G10" s="101">
        <v>448.82</v>
      </c>
      <c r="H10" s="103"/>
      <c r="I10" s="103">
        <f>+G10*12</f>
        <v>5385.84</v>
      </c>
      <c r="J10" s="103">
        <f t="shared" ref="J10:J12" si="2">+G10*0.075</f>
        <v>33.661499999999997</v>
      </c>
      <c r="K10" s="103">
        <f>+(G10+J10)*12</f>
        <v>5789.7780000000002</v>
      </c>
      <c r="L10" s="103">
        <f>+K10/12</f>
        <v>482.48150000000004</v>
      </c>
      <c r="M10" s="100">
        <f>+K10/D10</f>
        <v>4.2571897058823529</v>
      </c>
      <c r="N10" s="107">
        <f t="shared" si="0"/>
        <v>15.862405479452056</v>
      </c>
      <c r="Q10" s="5"/>
      <c r="R10" s="100">
        <v>435.75</v>
      </c>
      <c r="S10" s="100">
        <f t="shared" si="1"/>
        <v>448.82</v>
      </c>
      <c r="T10" s="100">
        <f>K10*E10</f>
        <v>5789.7780000000002</v>
      </c>
      <c r="U10" s="6"/>
    </row>
    <row r="11" spans="2:21" x14ac:dyDescent="0.25">
      <c r="B11" s="5"/>
      <c r="C11" s="98" t="s">
        <v>77</v>
      </c>
      <c r="D11" s="99">
        <v>4640</v>
      </c>
      <c r="E11" s="88">
        <v>1</v>
      </c>
      <c r="F11" s="100">
        <v>866.25</v>
      </c>
      <c r="G11" s="101">
        <v>892.24</v>
      </c>
      <c r="H11" s="102" t="s">
        <v>17</v>
      </c>
      <c r="I11" s="103">
        <f>+G11*12</f>
        <v>10706.880000000001</v>
      </c>
      <c r="J11" s="103">
        <f t="shared" si="2"/>
        <v>66.917999999999992</v>
      </c>
      <c r="K11" s="103">
        <f>+(G11+J11)*12</f>
        <v>11509.896000000001</v>
      </c>
      <c r="L11" s="103">
        <f t="shared" ref="L11:L18" si="3">+K11/12</f>
        <v>959.15800000000002</v>
      </c>
      <c r="M11" s="100">
        <f>+K11/D11</f>
        <v>2.4805810344827588</v>
      </c>
      <c r="N11" s="107">
        <f t="shared" si="0"/>
        <v>31.533961643835617</v>
      </c>
      <c r="Q11" s="5"/>
      <c r="R11" s="100">
        <v>866.25</v>
      </c>
      <c r="S11" s="100">
        <f t="shared" si="1"/>
        <v>892.24</v>
      </c>
      <c r="T11" s="100">
        <f>K11*E11</f>
        <v>11509.896000000001</v>
      </c>
      <c r="U11" s="6"/>
    </row>
    <row r="12" spans="2:21" x14ac:dyDescent="0.25">
      <c r="B12" s="5"/>
      <c r="C12" s="98" t="s">
        <v>90</v>
      </c>
      <c r="D12" s="99">
        <v>6044</v>
      </c>
      <c r="E12" s="88">
        <v>1</v>
      </c>
      <c r="F12" s="100">
        <v>1200</v>
      </c>
      <c r="G12" s="101">
        <v>1689.2</v>
      </c>
      <c r="H12" s="102" t="s">
        <v>57</v>
      </c>
      <c r="I12" s="103">
        <f>+G12*12</f>
        <v>20270.400000000001</v>
      </c>
      <c r="J12" s="103">
        <f t="shared" si="2"/>
        <v>126.69</v>
      </c>
      <c r="K12" s="103">
        <f>+(G12+J12)*12</f>
        <v>21790.68</v>
      </c>
      <c r="L12" s="103">
        <f t="shared" si="3"/>
        <v>1815.89</v>
      </c>
      <c r="M12" s="100">
        <f>+K12/D12</f>
        <v>3.6053408338848447</v>
      </c>
      <c r="N12" s="107">
        <f t="shared" si="0"/>
        <v>59.700493150684935</v>
      </c>
      <c r="Q12" s="5"/>
      <c r="R12" s="100">
        <v>1200</v>
      </c>
      <c r="S12" s="100">
        <f t="shared" si="1"/>
        <v>1689.2</v>
      </c>
      <c r="T12" s="100">
        <f>K12*E12</f>
        <v>21790.68</v>
      </c>
      <c r="U12" s="6"/>
    </row>
    <row r="13" spans="2:21" x14ac:dyDescent="0.25">
      <c r="B13" s="5"/>
      <c r="C13" s="98" t="s">
        <v>31</v>
      </c>
      <c r="D13" s="99">
        <v>1403</v>
      </c>
      <c r="E13" s="88">
        <v>3</v>
      </c>
      <c r="F13" s="100">
        <v>283.5</v>
      </c>
      <c r="G13" s="101">
        <v>292.01</v>
      </c>
      <c r="H13" s="103"/>
      <c r="I13" s="103">
        <f t="shared" ref="I13:I18" si="4">+G13*12*E13</f>
        <v>10512.36</v>
      </c>
      <c r="J13" s="103">
        <f t="shared" ref="J13:J18" si="5">+I13*0.075</f>
        <v>788.42700000000002</v>
      </c>
      <c r="K13" s="103">
        <f t="shared" ref="K13:K18" si="6">+I13*1.075</f>
        <v>11300.787</v>
      </c>
      <c r="L13" s="103">
        <f t="shared" si="3"/>
        <v>941.73225000000002</v>
      </c>
      <c r="M13" s="100">
        <f>+G13/D13*12</f>
        <v>2.4975908766928008</v>
      </c>
      <c r="N13" s="107">
        <f t="shared" si="0"/>
        <v>30.961060273972603</v>
      </c>
      <c r="Q13" s="5"/>
      <c r="R13" s="100">
        <v>283.5</v>
      </c>
      <c r="S13" s="100">
        <f t="shared" si="1"/>
        <v>292.01</v>
      </c>
      <c r="T13" s="100">
        <f t="shared" ref="T13:T18" si="7">K13</f>
        <v>11300.787</v>
      </c>
      <c r="U13" s="6"/>
    </row>
    <row r="14" spans="2:21" x14ac:dyDescent="0.25">
      <c r="B14" s="5"/>
      <c r="C14" s="98" t="s">
        <v>32</v>
      </c>
      <c r="D14" s="99">
        <v>1281</v>
      </c>
      <c r="E14" s="88">
        <v>15</v>
      </c>
      <c r="F14" s="100">
        <v>273</v>
      </c>
      <c r="G14" s="101">
        <v>281.19</v>
      </c>
      <c r="H14" s="103"/>
      <c r="I14" s="103">
        <f t="shared" si="4"/>
        <v>50614.2</v>
      </c>
      <c r="J14" s="103">
        <f t="shared" si="5"/>
        <v>3796.0649999999996</v>
      </c>
      <c r="K14" s="103">
        <f t="shared" si="6"/>
        <v>54410.264999999992</v>
      </c>
      <c r="L14" s="103">
        <f>+K14/12</f>
        <v>4534.1887499999993</v>
      </c>
      <c r="M14" s="100">
        <f>G14/D14*12</f>
        <v>2.6340983606557375</v>
      </c>
      <c r="N14" s="107">
        <f t="shared" si="0"/>
        <v>149.06921917808216</v>
      </c>
      <c r="Q14" s="5"/>
      <c r="R14" s="100">
        <v>273</v>
      </c>
      <c r="S14" s="100">
        <f t="shared" si="1"/>
        <v>281.19</v>
      </c>
      <c r="T14" s="100">
        <f t="shared" si="7"/>
        <v>54410.264999999992</v>
      </c>
      <c r="U14" s="6"/>
    </row>
    <row r="15" spans="2:21" x14ac:dyDescent="0.25">
      <c r="B15" s="5"/>
      <c r="C15" s="98" t="s">
        <v>43</v>
      </c>
      <c r="D15" s="99">
        <v>1900</v>
      </c>
      <c r="E15" s="88">
        <v>4</v>
      </c>
      <c r="F15" s="100">
        <v>383.25</v>
      </c>
      <c r="G15" s="101">
        <v>394.75</v>
      </c>
      <c r="H15" s="104"/>
      <c r="I15" s="103">
        <f t="shared" si="4"/>
        <v>18948</v>
      </c>
      <c r="J15" s="103">
        <f t="shared" si="5"/>
        <v>1421.1</v>
      </c>
      <c r="K15" s="103">
        <f t="shared" si="6"/>
        <v>20369.099999999999</v>
      </c>
      <c r="L15" s="103">
        <f t="shared" si="3"/>
        <v>1697.425</v>
      </c>
      <c r="M15" s="100">
        <f>G15/D15*12</f>
        <v>2.493157894736842</v>
      </c>
      <c r="N15" s="107">
        <f t="shared" si="0"/>
        <v>55.805753424657532</v>
      </c>
      <c r="Q15" s="5"/>
      <c r="R15" s="100">
        <v>383.25</v>
      </c>
      <c r="S15" s="100">
        <f t="shared" si="1"/>
        <v>394.75</v>
      </c>
      <c r="T15" s="100">
        <f t="shared" si="7"/>
        <v>20369.099999999999</v>
      </c>
      <c r="U15" s="6"/>
    </row>
    <row r="16" spans="2:21" x14ac:dyDescent="0.25">
      <c r="B16" s="5"/>
      <c r="C16" s="98" t="s">
        <v>42</v>
      </c>
      <c r="D16" s="99">
        <v>1407</v>
      </c>
      <c r="E16" s="88">
        <v>4</v>
      </c>
      <c r="F16" s="100">
        <v>299.25</v>
      </c>
      <c r="G16" s="101">
        <v>308.23</v>
      </c>
      <c r="H16" s="103"/>
      <c r="I16" s="103">
        <f t="shared" si="4"/>
        <v>14795.04</v>
      </c>
      <c r="J16" s="103">
        <f t="shared" si="5"/>
        <v>1109.6279999999999</v>
      </c>
      <c r="K16" s="103">
        <f t="shared" si="6"/>
        <v>15904.668</v>
      </c>
      <c r="L16" s="103">
        <f t="shared" si="3"/>
        <v>1325.3889999999999</v>
      </c>
      <c r="M16" s="100">
        <f>+G16/D16*12</f>
        <v>2.6288272921108744</v>
      </c>
      <c r="N16" s="107">
        <f t="shared" si="0"/>
        <v>43.574432876712329</v>
      </c>
      <c r="Q16" s="5"/>
      <c r="R16" s="100">
        <v>299.25</v>
      </c>
      <c r="S16" s="100">
        <f t="shared" si="1"/>
        <v>308.23</v>
      </c>
      <c r="T16" s="100">
        <f t="shared" si="7"/>
        <v>15904.668</v>
      </c>
      <c r="U16" s="6"/>
    </row>
    <row r="17" spans="2:21" x14ac:dyDescent="0.25">
      <c r="B17" s="5"/>
      <c r="C17" s="98" t="s">
        <v>7</v>
      </c>
      <c r="D17" s="99">
        <v>985</v>
      </c>
      <c r="E17" s="88">
        <v>7</v>
      </c>
      <c r="F17" s="100">
        <v>220.5</v>
      </c>
      <c r="G17" s="101">
        <v>227.12</v>
      </c>
      <c r="H17" s="103"/>
      <c r="I17" s="103">
        <f t="shared" si="4"/>
        <v>19078.080000000002</v>
      </c>
      <c r="J17" s="103">
        <f t="shared" si="5"/>
        <v>1430.856</v>
      </c>
      <c r="K17" s="103">
        <f t="shared" si="6"/>
        <v>20508.936000000002</v>
      </c>
      <c r="L17" s="103">
        <f t="shared" si="3"/>
        <v>1709.0780000000002</v>
      </c>
      <c r="M17" s="100">
        <f>+G17/D17*12</f>
        <v>2.7669441624365483</v>
      </c>
      <c r="N17" s="107">
        <f t="shared" si="0"/>
        <v>56.188865753424665</v>
      </c>
      <c r="Q17" s="5"/>
      <c r="R17" s="100">
        <v>220.5</v>
      </c>
      <c r="S17" s="100">
        <f t="shared" si="1"/>
        <v>227.12</v>
      </c>
      <c r="T17" s="100">
        <f t="shared" si="7"/>
        <v>20508.936000000002</v>
      </c>
      <c r="U17" s="6"/>
    </row>
    <row r="18" spans="2:21" x14ac:dyDescent="0.25">
      <c r="B18" s="5"/>
      <c r="C18" s="98" t="s">
        <v>8</v>
      </c>
      <c r="D18" s="99">
        <v>1209</v>
      </c>
      <c r="E18" s="88">
        <v>7</v>
      </c>
      <c r="F18" s="100">
        <v>63</v>
      </c>
      <c r="G18" s="101">
        <v>64.89</v>
      </c>
      <c r="H18" s="103"/>
      <c r="I18" s="103">
        <f t="shared" si="4"/>
        <v>5450.76</v>
      </c>
      <c r="J18" s="103">
        <f t="shared" si="5"/>
        <v>408.80700000000002</v>
      </c>
      <c r="K18" s="103">
        <f t="shared" si="6"/>
        <v>5859.567</v>
      </c>
      <c r="L18" s="103">
        <f t="shared" si="3"/>
        <v>488.29725000000002</v>
      </c>
      <c r="M18" s="100">
        <f>+G18/D18*12</f>
        <v>0.64406947890818866</v>
      </c>
      <c r="N18" s="107">
        <f t="shared" si="0"/>
        <v>16.053608219178081</v>
      </c>
      <c r="Q18" s="5"/>
      <c r="R18" s="100">
        <v>63</v>
      </c>
      <c r="S18" s="100">
        <f t="shared" si="1"/>
        <v>64.89</v>
      </c>
      <c r="T18" s="100">
        <f t="shared" si="7"/>
        <v>5859.567</v>
      </c>
      <c r="U18" s="6"/>
    </row>
    <row r="19" spans="2:21" x14ac:dyDescent="0.25">
      <c r="B19" s="5"/>
      <c r="C19" s="98" t="s">
        <v>33</v>
      </c>
      <c r="D19" s="99">
        <v>1209</v>
      </c>
      <c r="E19" s="105">
        <v>13</v>
      </c>
      <c r="F19" s="100">
        <v>21</v>
      </c>
      <c r="G19" s="101">
        <v>21.63</v>
      </c>
      <c r="H19" s="26" t="s">
        <v>94</v>
      </c>
      <c r="I19" s="103" t="s">
        <v>10</v>
      </c>
      <c r="J19" s="103"/>
      <c r="K19" s="103"/>
      <c r="L19" s="103"/>
      <c r="M19" s="100"/>
      <c r="N19" s="107">
        <f>+(F19+J19)*12/365</f>
        <v>0.69041095890410964</v>
      </c>
      <c r="Q19" s="5"/>
      <c r="R19" s="100">
        <v>21</v>
      </c>
      <c r="S19" s="100">
        <f t="shared" si="1"/>
        <v>21.63</v>
      </c>
      <c r="T19" s="86"/>
      <c r="U19" s="6"/>
    </row>
    <row r="20" spans="2:21" x14ac:dyDescent="0.25">
      <c r="B20" s="5"/>
      <c r="C20" s="106" t="s">
        <v>49</v>
      </c>
      <c r="D20" s="86"/>
      <c r="E20" s="88">
        <f>SUM(E9:E19)</f>
        <v>57</v>
      </c>
      <c r="F20" s="88"/>
      <c r="G20" s="88"/>
      <c r="H20" s="88"/>
      <c r="I20" s="88"/>
      <c r="J20" s="88"/>
      <c r="K20" s="88"/>
      <c r="L20" s="88"/>
      <c r="M20" s="88"/>
      <c r="N20" s="108"/>
      <c r="Q20" s="5"/>
      <c r="T20" s="100">
        <f>SUM(T9:T18)</f>
        <v>184743.351</v>
      </c>
      <c r="U20" s="6" t="s">
        <v>28</v>
      </c>
    </row>
    <row r="21" spans="2:21" x14ac:dyDescent="0.25">
      <c r="B21" s="5"/>
      <c r="D21" s="12"/>
      <c r="E21" s="1"/>
      <c r="F21" s="1"/>
      <c r="G21" s="1"/>
      <c r="H21" s="26" t="s">
        <v>16</v>
      </c>
      <c r="I21" t="s">
        <v>34</v>
      </c>
      <c r="L21" s="1"/>
      <c r="M21" s="1"/>
      <c r="N21" s="11"/>
      <c r="Q21" s="5"/>
      <c r="T21" s="100">
        <f>T20-(T20*0.075)</f>
        <v>170887.599675</v>
      </c>
      <c r="U21" s="6" t="s">
        <v>22</v>
      </c>
    </row>
    <row r="22" spans="2:21" x14ac:dyDescent="0.25">
      <c r="B22" s="5"/>
      <c r="C22" s="12"/>
      <c r="D22" s="12"/>
      <c r="E22" s="1"/>
      <c r="F22" s="1"/>
      <c r="G22" s="1"/>
      <c r="H22" s="26" t="s">
        <v>17</v>
      </c>
      <c r="I22" t="s">
        <v>18</v>
      </c>
      <c r="N22" s="11"/>
      <c r="Q22" s="5"/>
      <c r="R22" s="24"/>
      <c r="S22" s="1" t="s">
        <v>27</v>
      </c>
      <c r="T22" s="100">
        <f>+T21*0.95</f>
        <v>162343.21969125001</v>
      </c>
      <c r="U22" s="6" t="s">
        <v>36</v>
      </c>
    </row>
    <row r="23" spans="2:21" ht="15.75" thickBot="1" x14ac:dyDescent="0.3">
      <c r="B23" s="5"/>
      <c r="C23" s="12"/>
      <c r="D23" s="12"/>
      <c r="E23" s="1"/>
      <c r="F23" s="1"/>
      <c r="G23" s="1"/>
      <c r="H23" s="59">
        <v>-3</v>
      </c>
      <c r="I23" t="s">
        <v>96</v>
      </c>
      <c r="N23" s="11"/>
      <c r="Q23" s="16"/>
      <c r="R23" s="27"/>
      <c r="S23" s="17"/>
      <c r="T23" s="17"/>
      <c r="U23" s="28"/>
    </row>
    <row r="24" spans="2:21" x14ac:dyDescent="0.25">
      <c r="B24" s="5"/>
      <c r="C24" s="8"/>
      <c r="D24" s="8"/>
      <c r="E24" s="7"/>
      <c r="F24" s="7"/>
      <c r="G24" s="7"/>
      <c r="H24" s="26" t="s">
        <v>94</v>
      </c>
      <c r="I24" t="s">
        <v>75</v>
      </c>
      <c r="N24" s="11"/>
    </row>
    <row r="25" spans="2:21" ht="15.75" thickBot="1" x14ac:dyDescent="0.3">
      <c r="B25" s="5"/>
      <c r="C25" s="8"/>
      <c r="D25" s="8"/>
      <c r="E25" s="7"/>
      <c r="F25" s="7"/>
      <c r="G25" s="7"/>
      <c r="H25" s="7"/>
      <c r="I25" s="30" t="s">
        <v>76</v>
      </c>
      <c r="J25" s="7"/>
      <c r="K25" s="7"/>
      <c r="L25" s="7"/>
      <c r="M25" s="7"/>
      <c r="N25" s="11"/>
      <c r="R25" s="131" t="s">
        <v>79</v>
      </c>
      <c r="S25" s="131"/>
      <c r="T25" s="95">
        <v>153961.74</v>
      </c>
    </row>
    <row r="26" spans="2:21" ht="15.75" thickBot="1" x14ac:dyDescent="0.3">
      <c r="B26" s="5"/>
      <c r="C26" s="8" t="s">
        <v>11</v>
      </c>
      <c r="D26" s="8"/>
      <c r="E26" s="7"/>
      <c r="F26" s="7"/>
      <c r="G26" s="7"/>
      <c r="H26" s="7"/>
      <c r="I26" s="7"/>
      <c r="J26" s="7"/>
      <c r="K26" s="7"/>
      <c r="L26" s="7"/>
      <c r="M26" s="7"/>
      <c r="N26" s="11"/>
      <c r="R26" s="132" t="s">
        <v>80</v>
      </c>
      <c r="S26" s="132"/>
      <c r="T26" s="97">
        <v>1240</v>
      </c>
    </row>
    <row r="27" spans="2:21" x14ac:dyDescent="0.25">
      <c r="B27" s="5"/>
      <c r="C27" s="8" t="s">
        <v>35</v>
      </c>
      <c r="D27" s="8"/>
      <c r="N27" s="6"/>
      <c r="S27" s="56" t="s">
        <v>81</v>
      </c>
      <c r="T27" s="96">
        <f>T25-T26</f>
        <v>152721.74</v>
      </c>
    </row>
    <row r="28" spans="2:21" x14ac:dyDescent="0.25">
      <c r="B28" s="5"/>
      <c r="C28" s="8"/>
      <c r="D28" s="8"/>
      <c r="E28" s="7"/>
      <c r="F28" s="7"/>
      <c r="G28" s="7"/>
      <c r="H28" s="7"/>
      <c r="I28" s="1"/>
      <c r="J28" s="1"/>
      <c r="K28" s="1"/>
      <c r="L28" s="1"/>
      <c r="M28" s="1"/>
      <c r="N28" s="11"/>
    </row>
    <row r="29" spans="2:21" x14ac:dyDescent="0.25">
      <c r="B29" s="5"/>
      <c r="C29" s="8" t="s">
        <v>78</v>
      </c>
      <c r="D29" s="8"/>
      <c r="E29" s="7"/>
      <c r="F29" s="7"/>
      <c r="G29" s="7"/>
      <c r="H29" s="7"/>
      <c r="I29" s="1"/>
      <c r="J29" s="1"/>
      <c r="K29" s="1"/>
      <c r="L29" s="1"/>
      <c r="M29" s="1"/>
      <c r="N29" s="11"/>
    </row>
    <row r="30" spans="2:21" x14ac:dyDescent="0.25">
      <c r="B30" s="5"/>
      <c r="C30" s="8"/>
      <c r="D30" s="8"/>
      <c r="E30" s="7"/>
      <c r="F30" s="7"/>
      <c r="G30" s="7"/>
      <c r="H30" s="7"/>
      <c r="I30" s="1"/>
      <c r="J30" s="1"/>
      <c r="K30" s="1"/>
      <c r="L30" s="1"/>
      <c r="M30" s="1"/>
      <c r="N30" s="11"/>
    </row>
    <row r="31" spans="2:21" x14ac:dyDescent="0.25">
      <c r="B31" s="5"/>
      <c r="C31" s="13" t="s">
        <v>19</v>
      </c>
      <c r="D31" s="13"/>
      <c r="E31" s="14"/>
      <c r="F31" s="14"/>
      <c r="G31" s="14"/>
      <c r="H31" s="14"/>
      <c r="I31" s="14"/>
      <c r="J31" s="14"/>
      <c r="K31" s="14"/>
      <c r="L31" s="14"/>
      <c r="M31" s="14"/>
      <c r="N31" s="15"/>
    </row>
    <row r="32" spans="2:21" x14ac:dyDescent="0.25">
      <c r="B32" s="5"/>
      <c r="C32" s="13" t="s">
        <v>13</v>
      </c>
      <c r="D32" s="13"/>
      <c r="E32" s="14"/>
      <c r="F32" s="14"/>
      <c r="G32" s="14"/>
      <c r="H32" s="14"/>
      <c r="I32" s="14"/>
      <c r="J32" s="14"/>
      <c r="K32" s="14"/>
      <c r="L32" s="14"/>
      <c r="M32" s="14"/>
      <c r="N32" s="15"/>
    </row>
    <row r="33" spans="2:14" ht="15.75" thickBot="1" x14ac:dyDescent="0.3">
      <c r="B33" s="16"/>
      <c r="C33" s="17"/>
      <c r="D33" s="17"/>
      <c r="E33" s="18"/>
      <c r="F33" s="18"/>
      <c r="G33" s="18"/>
      <c r="H33" s="18"/>
      <c r="I33" s="18"/>
      <c r="J33" s="18"/>
      <c r="K33" s="18"/>
      <c r="L33" s="18"/>
      <c r="M33" s="18"/>
      <c r="N33" s="19"/>
    </row>
    <row r="34" spans="2:14" x14ac:dyDescent="0.25"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2:14" x14ac:dyDescent="0.25">
      <c r="C35" t="s">
        <v>56</v>
      </c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2:14" x14ac:dyDescent="0.25"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2:14" x14ac:dyDescent="0.25">
      <c r="D37" s="90"/>
      <c r="E37" s="1"/>
      <c r="F37" s="89"/>
      <c r="G37" s="1"/>
      <c r="H37" s="1"/>
      <c r="I37" s="1"/>
      <c r="J37" s="1"/>
      <c r="K37" s="1"/>
      <c r="L37" s="1"/>
      <c r="M37" s="1"/>
      <c r="N37" s="1"/>
    </row>
    <row r="38" spans="2:14" x14ac:dyDescent="0.25">
      <c r="D38" s="91"/>
      <c r="E38" s="1"/>
      <c r="F38" s="1"/>
      <c r="L38" s="1"/>
      <c r="M38" s="1"/>
      <c r="N38" s="1"/>
    </row>
    <row r="39" spans="2:14" x14ac:dyDescent="0.25">
      <c r="C39" s="8"/>
      <c r="D39" s="10"/>
      <c r="E39" s="10"/>
      <c r="F39" s="60"/>
      <c r="J39" s="95"/>
      <c r="K39" s="95"/>
      <c r="L39" s="1"/>
      <c r="M39" s="1"/>
      <c r="N39" s="1"/>
    </row>
    <row r="40" spans="2:14" x14ac:dyDescent="0.25">
      <c r="C40" s="8"/>
      <c r="D40" s="10"/>
      <c r="E40" s="10"/>
      <c r="F40" s="60"/>
      <c r="J40" s="95"/>
      <c r="K40" s="95"/>
      <c r="L40" s="1"/>
      <c r="M40" s="1"/>
      <c r="N40" s="1"/>
    </row>
    <row r="41" spans="2:14" x14ac:dyDescent="0.25">
      <c r="C41" s="8"/>
      <c r="D41" s="10"/>
      <c r="E41" s="10"/>
      <c r="F41" s="60"/>
      <c r="J41" s="95"/>
      <c r="K41" s="95"/>
      <c r="L41" s="1"/>
      <c r="M41" s="1"/>
      <c r="N41" s="1"/>
    </row>
    <row r="42" spans="2:14" x14ac:dyDescent="0.25">
      <c r="C42" s="8"/>
      <c r="D42" s="10"/>
      <c r="E42" s="10"/>
      <c r="F42" s="10"/>
      <c r="J42" s="95"/>
      <c r="K42" s="95"/>
      <c r="L42" s="1"/>
      <c r="M42" s="1"/>
      <c r="N42" s="1"/>
    </row>
    <row r="43" spans="2:14" x14ac:dyDescent="0.25">
      <c r="C43" s="8"/>
      <c r="D43" s="10"/>
      <c r="E43" s="10"/>
      <c r="F43" s="10"/>
      <c r="J43" s="95"/>
      <c r="K43" s="95"/>
      <c r="L43" s="32"/>
      <c r="M43" s="1"/>
      <c r="N43" s="1"/>
    </row>
    <row r="44" spans="2:14" x14ac:dyDescent="0.25">
      <c r="C44" s="8"/>
      <c r="D44" s="10"/>
      <c r="E44" s="10"/>
      <c r="F44" s="10"/>
      <c r="J44" s="95"/>
      <c r="K44" s="95"/>
      <c r="L44" s="1"/>
      <c r="M44" s="1"/>
      <c r="N44" s="1"/>
    </row>
    <row r="45" spans="2:14" x14ac:dyDescent="0.25">
      <c r="C45" s="8"/>
      <c r="D45" s="10"/>
      <c r="E45" s="10"/>
      <c r="F45" s="10"/>
      <c r="J45" s="95"/>
      <c r="K45" s="95"/>
      <c r="L45" s="1"/>
      <c r="M45" s="1"/>
      <c r="N45" s="1"/>
    </row>
    <row r="46" spans="2:14" x14ac:dyDescent="0.25">
      <c r="C46" s="8"/>
      <c r="D46" s="10"/>
      <c r="E46" s="10"/>
      <c r="F46" s="10"/>
      <c r="J46" s="95"/>
      <c r="K46" s="95"/>
      <c r="L46" s="1"/>
      <c r="M46" s="1"/>
      <c r="N46" s="1"/>
    </row>
    <row r="47" spans="2:14" x14ac:dyDescent="0.25">
      <c r="C47" s="8"/>
      <c r="D47" s="10"/>
      <c r="E47" s="10"/>
      <c r="F47" s="10"/>
      <c r="J47" s="95"/>
      <c r="K47" s="95"/>
      <c r="L47" s="32"/>
      <c r="M47" s="1"/>
      <c r="N47" s="1"/>
    </row>
    <row r="48" spans="2:14" x14ac:dyDescent="0.25">
      <c r="C48" s="8"/>
      <c r="D48" s="10"/>
      <c r="E48" s="10"/>
      <c r="F48" s="10"/>
      <c r="J48" s="95"/>
      <c r="K48" s="95"/>
      <c r="L48" s="1"/>
      <c r="M48" s="1"/>
      <c r="N48" s="1"/>
    </row>
    <row r="49" spans="3:16" x14ac:dyDescent="0.25">
      <c r="C49" s="8"/>
      <c r="D49" s="31"/>
      <c r="E49" s="92"/>
      <c r="F49" s="10"/>
      <c r="K49" s="95"/>
      <c r="L49" s="92"/>
      <c r="M49" s="92"/>
      <c r="N49" s="1"/>
    </row>
    <row r="50" spans="3:16" x14ac:dyDescent="0.25">
      <c r="C50" s="8"/>
      <c r="D50" s="20"/>
      <c r="E50" s="1"/>
      <c r="F50" s="31"/>
      <c r="G50" s="31"/>
      <c r="H50" s="1"/>
      <c r="I50" s="1"/>
      <c r="J50" s="24"/>
      <c r="K50" s="32"/>
      <c r="L50" s="1"/>
      <c r="M50" s="128"/>
      <c r="N50" s="128"/>
    </row>
    <row r="51" spans="3:16" x14ac:dyDescent="0.25">
      <c r="D51" s="91"/>
      <c r="E51" s="1"/>
      <c r="F51" s="1"/>
      <c r="G51" s="1"/>
      <c r="H51" s="1"/>
      <c r="I51" s="1"/>
      <c r="J51" s="32"/>
      <c r="K51" s="1"/>
      <c r="L51" s="1"/>
      <c r="M51" s="1"/>
    </row>
    <row r="52" spans="3:16" x14ac:dyDescent="0.25">
      <c r="C52" s="8"/>
      <c r="D52" s="10"/>
      <c r="E52" s="10"/>
      <c r="F52" s="60"/>
      <c r="G52" s="1"/>
      <c r="H52" s="1"/>
      <c r="I52" s="1"/>
      <c r="J52" s="1"/>
      <c r="K52" s="1"/>
      <c r="L52" s="1"/>
      <c r="M52" s="1"/>
    </row>
    <row r="53" spans="3:16" x14ac:dyDescent="0.25">
      <c r="C53" s="8"/>
      <c r="D53" s="10"/>
      <c r="E53" s="10"/>
      <c r="F53" s="60"/>
      <c r="G53" s="1"/>
      <c r="H53" s="1"/>
      <c r="I53" s="1"/>
      <c r="J53" s="1"/>
      <c r="K53" s="1"/>
      <c r="L53" s="1"/>
      <c r="M53" s="1"/>
    </row>
    <row r="54" spans="3:16" x14ac:dyDescent="0.25">
      <c r="C54" s="8"/>
      <c r="D54" s="10"/>
      <c r="E54" s="10"/>
      <c r="F54" s="60"/>
      <c r="G54" s="1"/>
      <c r="H54" s="1"/>
      <c r="I54" s="9"/>
      <c r="J54" s="32"/>
      <c r="K54" s="1"/>
      <c r="L54" s="9"/>
      <c r="M54" s="1"/>
      <c r="P54" s="12"/>
    </row>
    <row r="55" spans="3:16" x14ac:dyDescent="0.25">
      <c r="C55" s="8"/>
      <c r="D55" s="10"/>
      <c r="E55" s="10"/>
      <c r="F55" s="10"/>
      <c r="G55" s="1"/>
      <c r="H55" s="10"/>
      <c r="I55" s="60"/>
      <c r="J55" s="1"/>
      <c r="K55" s="10"/>
      <c r="L55" s="24"/>
      <c r="M55" s="10"/>
      <c r="P55" s="24"/>
    </row>
    <row r="56" spans="3:16" x14ac:dyDescent="0.25">
      <c r="C56" s="8"/>
      <c r="D56" s="10"/>
      <c r="E56" s="10"/>
      <c r="F56" s="10"/>
      <c r="G56" s="1"/>
      <c r="H56" s="1"/>
      <c r="I56" s="1"/>
      <c r="J56" s="1"/>
      <c r="K56" s="10"/>
      <c r="L56" s="24"/>
      <c r="M56" s="10"/>
      <c r="P56" s="24"/>
    </row>
    <row r="57" spans="3:16" x14ac:dyDescent="0.25">
      <c r="C57" s="8"/>
      <c r="D57" s="10"/>
      <c r="E57" s="10"/>
      <c r="F57" s="10"/>
      <c r="G57" s="1"/>
      <c r="H57" s="1"/>
      <c r="I57" s="1"/>
      <c r="J57" s="10"/>
      <c r="K57" s="10"/>
      <c r="L57" s="24"/>
      <c r="M57" s="10"/>
      <c r="P57" s="24"/>
    </row>
    <row r="58" spans="3:16" x14ac:dyDescent="0.25">
      <c r="C58" s="8"/>
      <c r="D58" s="10"/>
      <c r="E58" s="10"/>
      <c r="F58" s="10"/>
      <c r="G58" s="10"/>
      <c r="H58" s="10"/>
      <c r="I58" s="10"/>
      <c r="J58" s="10"/>
      <c r="K58" s="10"/>
      <c r="L58" s="24"/>
      <c r="M58" s="10"/>
      <c r="P58" s="24"/>
    </row>
    <row r="59" spans="3:16" x14ac:dyDescent="0.25">
      <c r="C59" s="8"/>
      <c r="D59" s="10"/>
      <c r="E59" s="10"/>
      <c r="F59" s="10"/>
      <c r="G59" s="10"/>
      <c r="H59" s="10"/>
      <c r="I59" s="10"/>
      <c r="J59" s="10"/>
      <c r="L59" s="24"/>
    </row>
    <row r="60" spans="3:16" x14ac:dyDescent="0.25">
      <c r="C60" s="8"/>
      <c r="D60" s="10"/>
      <c r="E60" s="10"/>
      <c r="F60" s="10"/>
      <c r="G60" s="10"/>
      <c r="H60" s="10"/>
      <c r="I60" s="10"/>
      <c r="J60" s="10"/>
      <c r="K60" s="10"/>
      <c r="L60" s="24"/>
      <c r="M60" s="10"/>
      <c r="P60" s="24"/>
    </row>
    <row r="61" spans="3:16" x14ac:dyDescent="0.25">
      <c r="C61" s="8"/>
      <c r="D61" s="10"/>
      <c r="E61" s="10"/>
      <c r="F61" s="10"/>
      <c r="G61" s="10"/>
      <c r="H61" s="10"/>
      <c r="I61" s="10"/>
    </row>
    <row r="62" spans="3:16" x14ac:dyDescent="0.25">
      <c r="D62" s="31"/>
      <c r="E62" s="92"/>
      <c r="F62" s="24"/>
      <c r="J62" s="10"/>
    </row>
    <row r="63" spans="3:16" x14ac:dyDescent="0.25">
      <c r="E63" s="56"/>
      <c r="F63" s="24"/>
      <c r="G63" s="24"/>
      <c r="H63" s="10"/>
      <c r="I63" s="10"/>
      <c r="J63" s="10"/>
    </row>
    <row r="64" spans="3:16" x14ac:dyDescent="0.25">
      <c r="D64" s="93"/>
    </row>
    <row r="65" spans="3:6" x14ac:dyDescent="0.25">
      <c r="C65" s="8"/>
      <c r="D65" s="24"/>
      <c r="E65" s="24"/>
      <c r="F65" s="94"/>
    </row>
    <row r="66" spans="3:6" x14ac:dyDescent="0.25">
      <c r="C66" s="8"/>
      <c r="D66" s="24"/>
      <c r="E66" s="24"/>
      <c r="F66" s="94"/>
    </row>
    <row r="67" spans="3:6" x14ac:dyDescent="0.25">
      <c r="C67" s="8"/>
      <c r="D67" s="24"/>
      <c r="E67" s="24"/>
      <c r="F67" s="94"/>
    </row>
    <row r="68" spans="3:6" x14ac:dyDescent="0.25">
      <c r="C68" s="8"/>
      <c r="D68" s="24"/>
      <c r="E68" s="24"/>
      <c r="F68" s="24"/>
    </row>
    <row r="69" spans="3:6" x14ac:dyDescent="0.25">
      <c r="C69" s="8"/>
      <c r="D69" s="24"/>
      <c r="E69" s="24"/>
      <c r="F69" s="24"/>
    </row>
    <row r="70" spans="3:6" x14ac:dyDescent="0.25">
      <c r="C70" s="8"/>
      <c r="D70" s="24"/>
      <c r="E70" s="24"/>
      <c r="F70" s="24"/>
    </row>
    <row r="71" spans="3:6" x14ac:dyDescent="0.25">
      <c r="C71" s="8"/>
      <c r="D71" s="24"/>
      <c r="E71" s="24"/>
      <c r="F71" s="24"/>
    </row>
    <row r="72" spans="3:6" x14ac:dyDescent="0.25">
      <c r="C72" s="8"/>
      <c r="D72" s="24"/>
      <c r="E72" s="24"/>
      <c r="F72" s="24"/>
    </row>
    <row r="73" spans="3:6" x14ac:dyDescent="0.25">
      <c r="C73" s="8"/>
      <c r="D73" s="24"/>
      <c r="E73" s="24"/>
      <c r="F73" s="24"/>
    </row>
    <row r="74" spans="3:6" x14ac:dyDescent="0.25">
      <c r="C74" s="8"/>
      <c r="D74" s="24"/>
      <c r="E74" s="24"/>
      <c r="F74" s="24"/>
    </row>
    <row r="75" spans="3:6" x14ac:dyDescent="0.25">
      <c r="E75" s="24"/>
      <c r="F75" s="24"/>
    </row>
  </sheetData>
  <mergeCells count="6">
    <mergeCell ref="E5:J5"/>
    <mergeCell ref="E6:J6"/>
    <mergeCell ref="M50:N50"/>
    <mergeCell ref="B2:N2"/>
    <mergeCell ref="R25:S25"/>
    <mergeCell ref="R26:S26"/>
  </mergeCells>
  <pageMargins left="0.7" right="0.7" top="0.75" bottom="0.75" header="0.3" footer="0.3"/>
  <pageSetup paperSize="3" scale="77" orientation="landscape" r:id="rId1"/>
  <rowBreaks count="1" manualBreakCount="1">
    <brk id="3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4323B-3881-498B-984A-EE5CA00266BE}">
  <dimension ref="B2:U78"/>
  <sheetViews>
    <sheetView topLeftCell="A32" zoomScaleNormal="100" workbookViewId="0">
      <selection activeCell="K56" sqref="K56:K66"/>
    </sheetView>
  </sheetViews>
  <sheetFormatPr defaultRowHeight="15" x14ac:dyDescent="0.25"/>
  <cols>
    <col min="1" max="1" width="2.7109375" customWidth="1"/>
    <col min="2" max="2" width="41.7109375" customWidth="1"/>
    <col min="3" max="8" width="12.7109375" customWidth="1"/>
    <col min="9" max="9" width="4.7109375" customWidth="1"/>
    <col min="10" max="10" width="18.28515625" customWidth="1"/>
    <col min="11" max="13" width="12.7109375" customWidth="1"/>
    <col min="14" max="14" width="14.140625" customWidth="1"/>
    <col min="15" max="15" width="20" customWidth="1"/>
    <col min="16" max="17" width="2.7109375" customWidth="1"/>
    <col min="19" max="20" width="12.7109375" customWidth="1"/>
    <col min="21" max="21" width="14.7109375" customWidth="1"/>
  </cols>
  <sheetData>
    <row r="2" spans="2:21" ht="24.75" customHeight="1" x14ac:dyDescent="0.4">
      <c r="B2" s="135"/>
      <c r="C2" s="135"/>
      <c r="D2" s="135"/>
      <c r="E2" s="135"/>
      <c r="F2" s="135"/>
      <c r="G2" s="135"/>
      <c r="H2" s="135"/>
      <c r="I2" s="135"/>
      <c r="J2" s="135"/>
      <c r="K2" s="135"/>
      <c r="L2" s="135"/>
      <c r="M2" s="135"/>
      <c r="N2" s="135"/>
      <c r="O2" s="135"/>
    </row>
    <row r="3" spans="2:21" ht="15.75" thickBot="1" x14ac:dyDescent="0.3"/>
    <row r="4" spans="2:21" x14ac:dyDescent="0.25">
      <c r="B4" s="58"/>
      <c r="C4" s="58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4"/>
    </row>
    <row r="5" spans="2:21" ht="18.75" x14ac:dyDescent="0.4">
      <c r="B5" t="s">
        <v>103</v>
      </c>
      <c r="D5" s="130" t="s">
        <v>12</v>
      </c>
      <c r="E5" s="130"/>
      <c r="F5" s="130"/>
      <c r="G5" s="130"/>
      <c r="H5" s="130"/>
      <c r="I5" s="130"/>
      <c r="J5" s="130"/>
      <c r="K5" s="130"/>
      <c r="L5" s="1"/>
      <c r="O5" s="6"/>
      <c r="T5" s="9"/>
    </row>
    <row r="6" spans="2:21" ht="18.75" x14ac:dyDescent="0.4">
      <c r="D6" s="130" t="s">
        <v>97</v>
      </c>
      <c r="E6" s="130"/>
      <c r="F6" s="130"/>
      <c r="G6" s="130"/>
      <c r="H6" s="130"/>
      <c r="I6" s="130"/>
      <c r="J6" s="130"/>
      <c r="K6" s="130"/>
      <c r="L6" s="1"/>
      <c r="O6" s="6"/>
    </row>
    <row r="7" spans="2:21" x14ac:dyDescent="0.25">
      <c r="C7" s="7" t="s">
        <v>14</v>
      </c>
      <c r="D7" s="7"/>
      <c r="E7" s="7"/>
      <c r="F7" s="7"/>
      <c r="G7" s="7"/>
      <c r="H7" s="7"/>
      <c r="I7" s="7"/>
      <c r="J7" s="7"/>
      <c r="K7" s="7" t="s">
        <v>55</v>
      </c>
      <c r="L7" s="7"/>
      <c r="M7" s="8"/>
      <c r="N7" s="7" t="s">
        <v>20</v>
      </c>
      <c r="O7" s="22" t="s">
        <v>5</v>
      </c>
      <c r="S7" s="7"/>
      <c r="T7" s="7"/>
      <c r="U7" s="7"/>
    </row>
    <row r="8" spans="2:21" x14ac:dyDescent="0.25">
      <c r="B8" s="9" t="s">
        <v>0</v>
      </c>
      <c r="C8" s="9" t="s">
        <v>15</v>
      </c>
      <c r="D8" s="9" t="s">
        <v>1</v>
      </c>
      <c r="E8" s="9" t="s">
        <v>2</v>
      </c>
      <c r="F8" s="61">
        <v>0.03</v>
      </c>
      <c r="G8" s="65">
        <v>0.05</v>
      </c>
      <c r="H8" s="71">
        <v>0.1</v>
      </c>
      <c r="I8" s="9"/>
      <c r="J8" s="9" t="s">
        <v>3</v>
      </c>
      <c r="K8" s="21" t="s">
        <v>54</v>
      </c>
      <c r="L8" s="9" t="s">
        <v>4</v>
      </c>
      <c r="M8" s="9" t="s">
        <v>9</v>
      </c>
      <c r="N8" s="9" t="s">
        <v>21</v>
      </c>
      <c r="O8" s="23" t="s">
        <v>6</v>
      </c>
      <c r="S8" s="9"/>
      <c r="T8" s="9"/>
      <c r="U8" s="9"/>
    </row>
    <row r="9" spans="2:21" x14ac:dyDescent="0.25">
      <c r="B9" s="8" t="s">
        <v>83</v>
      </c>
      <c r="C9" s="20">
        <v>4800</v>
      </c>
      <c r="D9" s="1">
        <v>1</v>
      </c>
      <c r="E9" s="24">
        <v>1302</v>
      </c>
      <c r="F9" s="62">
        <f>E9*1.03</f>
        <v>1341.06</v>
      </c>
      <c r="G9" s="66">
        <f t="shared" ref="G9:G19" si="0">E9*1.05</f>
        <v>1367.1000000000001</v>
      </c>
      <c r="H9" s="72">
        <f>E9*1.1</f>
        <v>1432.2</v>
      </c>
      <c r="I9" s="26" t="s">
        <v>16</v>
      </c>
      <c r="J9" s="10">
        <f>+E9*12</f>
        <v>15624</v>
      </c>
      <c r="K9" s="10">
        <f t="shared" ref="K9:K19" si="1">+E9*0.075</f>
        <v>97.649999999999991</v>
      </c>
      <c r="L9" s="10">
        <f>+(E9+K9)*12</f>
        <v>16795.800000000003</v>
      </c>
      <c r="M9" s="10">
        <f>+L9/12</f>
        <v>1399.6500000000003</v>
      </c>
      <c r="N9" s="24">
        <f>+L9/C9</f>
        <v>3.4991250000000007</v>
      </c>
      <c r="O9" s="25">
        <f t="shared" ref="O9:O18" si="2">+L9/365</f>
        <v>46.01589041095891</v>
      </c>
      <c r="S9" s="10"/>
      <c r="T9" s="24"/>
      <c r="U9" s="24"/>
    </row>
    <row r="10" spans="2:21" x14ac:dyDescent="0.25">
      <c r="B10" s="8" t="s">
        <v>84</v>
      </c>
      <c r="C10" s="20">
        <v>1360</v>
      </c>
      <c r="D10" s="1">
        <v>1</v>
      </c>
      <c r="E10" s="24">
        <v>435.75</v>
      </c>
      <c r="F10" s="62">
        <f t="shared" ref="F10:F19" si="3">E10*1.03</f>
        <v>448.82249999999999</v>
      </c>
      <c r="G10" s="66">
        <f t="shared" si="0"/>
        <v>457.53750000000002</v>
      </c>
      <c r="H10" s="72">
        <f t="shared" ref="H10:H19" si="4">E10*1.1</f>
        <v>479.32500000000005</v>
      </c>
      <c r="I10" s="10"/>
      <c r="J10" s="10">
        <f>+E10*12</f>
        <v>5229</v>
      </c>
      <c r="K10" s="10">
        <f t="shared" si="1"/>
        <v>32.681249999999999</v>
      </c>
      <c r="L10" s="10">
        <f>+(E10+K10)*12</f>
        <v>5621.1749999999993</v>
      </c>
      <c r="M10" s="10">
        <f>+L10/12</f>
        <v>468.43124999999992</v>
      </c>
      <c r="N10" s="24">
        <f>+L10/C10</f>
        <v>4.1332169117647055</v>
      </c>
      <c r="O10" s="25">
        <f t="shared" si="2"/>
        <v>15.400479452054793</v>
      </c>
      <c r="S10" s="10"/>
      <c r="T10" s="24"/>
      <c r="U10" s="24"/>
    </row>
    <row r="11" spans="2:21" x14ac:dyDescent="0.25">
      <c r="B11" s="8" t="s">
        <v>77</v>
      </c>
      <c r="C11" s="20">
        <v>4640</v>
      </c>
      <c r="D11" s="1">
        <v>1</v>
      </c>
      <c r="E11" s="24">
        <v>866.25</v>
      </c>
      <c r="F11" s="62">
        <f t="shared" si="3"/>
        <v>892.23750000000007</v>
      </c>
      <c r="G11" s="66">
        <f t="shared" si="0"/>
        <v>909.5625</v>
      </c>
      <c r="H11" s="72">
        <f t="shared" si="4"/>
        <v>952.87500000000011</v>
      </c>
      <c r="I11" s="26" t="s">
        <v>17</v>
      </c>
      <c r="J11" s="10">
        <f>+E11*12</f>
        <v>10395</v>
      </c>
      <c r="K11" s="10">
        <f t="shared" si="1"/>
        <v>64.96875</v>
      </c>
      <c r="L11" s="10">
        <f>+(E11+K11)*12</f>
        <v>11174.625</v>
      </c>
      <c r="M11" s="10">
        <f t="shared" ref="M11:M18" si="5">+L11/12</f>
        <v>931.21875</v>
      </c>
      <c r="N11" s="24">
        <f>+L11/C11</f>
        <v>2.4083243534482759</v>
      </c>
      <c r="O11" s="25">
        <f t="shared" si="2"/>
        <v>30.615410958904111</v>
      </c>
      <c r="S11" s="10"/>
      <c r="T11" s="24"/>
      <c r="U11" s="24"/>
    </row>
    <row r="12" spans="2:21" x14ac:dyDescent="0.25">
      <c r="B12" s="8" t="s">
        <v>90</v>
      </c>
      <c r="C12" s="20">
        <v>6044</v>
      </c>
      <c r="D12" s="1">
        <v>1</v>
      </c>
      <c r="E12" s="24">
        <v>1640</v>
      </c>
      <c r="F12" s="62">
        <f>E12*1.03</f>
        <v>1689.2</v>
      </c>
      <c r="G12" s="66">
        <f t="shared" si="0"/>
        <v>1722</v>
      </c>
      <c r="H12" s="72">
        <f t="shared" si="4"/>
        <v>1804.0000000000002</v>
      </c>
      <c r="I12" s="26" t="s">
        <v>57</v>
      </c>
      <c r="J12" s="10">
        <f>+E12*12</f>
        <v>19680</v>
      </c>
      <c r="K12" s="10">
        <f t="shared" si="1"/>
        <v>123</v>
      </c>
      <c r="L12" s="10">
        <f>+(E12+K12)*12</f>
        <v>21156</v>
      </c>
      <c r="M12" s="10">
        <f t="shared" si="5"/>
        <v>1763</v>
      </c>
      <c r="N12" s="24">
        <f>+L12/C12</f>
        <v>3.5003309066843151</v>
      </c>
      <c r="O12" s="25">
        <f t="shared" si="2"/>
        <v>57.961643835616435</v>
      </c>
      <c r="S12" s="10"/>
      <c r="T12" s="24"/>
      <c r="U12" s="24"/>
    </row>
    <row r="13" spans="2:21" x14ac:dyDescent="0.25">
      <c r="B13" s="8" t="s">
        <v>31</v>
      </c>
      <c r="C13" s="20">
        <v>1403</v>
      </c>
      <c r="D13" s="1">
        <v>3</v>
      </c>
      <c r="E13" s="24">
        <v>283.5</v>
      </c>
      <c r="F13" s="62">
        <f t="shared" si="3"/>
        <v>292.005</v>
      </c>
      <c r="G13" s="66">
        <f t="shared" si="0"/>
        <v>297.67500000000001</v>
      </c>
      <c r="H13" s="72">
        <f t="shared" si="4"/>
        <v>311.85000000000002</v>
      </c>
      <c r="I13" s="10"/>
      <c r="J13" s="10">
        <f t="shared" ref="J13:J18" si="6">+E13*12*D13</f>
        <v>10206</v>
      </c>
      <c r="K13" s="10">
        <f t="shared" si="1"/>
        <v>21.262499999999999</v>
      </c>
      <c r="L13" s="10">
        <f t="shared" ref="L13:L18" si="7">+J13*1.075</f>
        <v>10971.449999999999</v>
      </c>
      <c r="M13" s="10">
        <f t="shared" si="5"/>
        <v>914.28749999999991</v>
      </c>
      <c r="N13" s="24">
        <f t="shared" ref="N13:N18" si="8">+E13/C13*12</f>
        <v>2.4248039914468995</v>
      </c>
      <c r="O13" s="25">
        <f t="shared" si="2"/>
        <v>30.058767123287669</v>
      </c>
      <c r="S13" s="10"/>
      <c r="T13" s="24"/>
      <c r="U13" s="24"/>
    </row>
    <row r="14" spans="2:21" x14ac:dyDescent="0.25">
      <c r="B14" s="8" t="s">
        <v>32</v>
      </c>
      <c r="C14" s="20">
        <v>1281</v>
      </c>
      <c r="D14" s="1">
        <v>15</v>
      </c>
      <c r="E14" s="24">
        <v>273</v>
      </c>
      <c r="F14" s="62">
        <f t="shared" si="3"/>
        <v>281.19</v>
      </c>
      <c r="G14" s="66">
        <f t="shared" si="0"/>
        <v>286.65000000000003</v>
      </c>
      <c r="H14" s="72">
        <f t="shared" si="4"/>
        <v>300.3</v>
      </c>
      <c r="I14" s="10"/>
      <c r="J14" s="10">
        <f t="shared" si="6"/>
        <v>49140</v>
      </c>
      <c r="K14" s="10">
        <f t="shared" si="1"/>
        <v>20.474999999999998</v>
      </c>
      <c r="L14" s="10">
        <f t="shared" si="7"/>
        <v>52825.5</v>
      </c>
      <c r="M14" s="10">
        <f>+L14/12</f>
        <v>4402.125</v>
      </c>
      <c r="N14" s="24">
        <f t="shared" si="8"/>
        <v>2.5573770491803276</v>
      </c>
      <c r="O14" s="25">
        <f t="shared" si="2"/>
        <v>144.72739726027396</v>
      </c>
      <c r="S14" s="10"/>
      <c r="T14" s="24"/>
      <c r="U14" s="24"/>
    </row>
    <row r="15" spans="2:21" x14ac:dyDescent="0.25">
      <c r="B15" s="8" t="s">
        <v>43</v>
      </c>
      <c r="C15" s="20">
        <v>1900</v>
      </c>
      <c r="D15" s="1">
        <v>4</v>
      </c>
      <c r="E15" s="24">
        <v>383.25</v>
      </c>
      <c r="F15" s="62">
        <f t="shared" si="3"/>
        <v>394.7475</v>
      </c>
      <c r="G15" s="66">
        <f t="shared" si="0"/>
        <v>402.41250000000002</v>
      </c>
      <c r="H15" s="72">
        <f t="shared" si="4"/>
        <v>421.57500000000005</v>
      </c>
      <c r="I15" s="59"/>
      <c r="J15" s="10">
        <f t="shared" si="6"/>
        <v>18396</v>
      </c>
      <c r="K15" s="10">
        <f t="shared" si="1"/>
        <v>28.743749999999999</v>
      </c>
      <c r="L15" s="10">
        <f t="shared" si="7"/>
        <v>19775.7</v>
      </c>
      <c r="M15" s="10">
        <f t="shared" si="5"/>
        <v>1647.9750000000001</v>
      </c>
      <c r="N15" s="24">
        <f t="shared" si="8"/>
        <v>2.4205263157894739</v>
      </c>
      <c r="O15" s="25">
        <f t="shared" si="2"/>
        <v>54.18</v>
      </c>
      <c r="S15" s="10"/>
      <c r="T15" s="24"/>
      <c r="U15" s="24"/>
    </row>
    <row r="16" spans="2:21" x14ac:dyDescent="0.25">
      <c r="B16" s="8" t="s">
        <v>42</v>
      </c>
      <c r="C16" s="20">
        <v>1407</v>
      </c>
      <c r="D16" s="1">
        <v>4</v>
      </c>
      <c r="E16" s="24">
        <v>299.25</v>
      </c>
      <c r="F16" s="62">
        <f t="shared" si="3"/>
        <v>308.22750000000002</v>
      </c>
      <c r="G16" s="66">
        <f t="shared" si="0"/>
        <v>314.21250000000003</v>
      </c>
      <c r="H16" s="72">
        <f t="shared" si="4"/>
        <v>329.17500000000001</v>
      </c>
      <c r="I16" s="10"/>
      <c r="J16" s="10">
        <f t="shared" si="6"/>
        <v>14364</v>
      </c>
      <c r="K16" s="10">
        <f t="shared" si="1"/>
        <v>22.443749999999998</v>
      </c>
      <c r="L16" s="10">
        <f t="shared" si="7"/>
        <v>15441.3</v>
      </c>
      <c r="M16" s="10">
        <f t="shared" si="5"/>
        <v>1286.7749999999999</v>
      </c>
      <c r="N16" s="24">
        <f t="shared" si="8"/>
        <v>2.5522388059701493</v>
      </c>
      <c r="O16" s="25">
        <f t="shared" si="2"/>
        <v>42.304931506849314</v>
      </c>
      <c r="S16" s="10"/>
      <c r="T16" s="24"/>
      <c r="U16" s="24"/>
    </row>
    <row r="17" spans="2:21" x14ac:dyDescent="0.25">
      <c r="B17" s="8" t="s">
        <v>7</v>
      </c>
      <c r="C17" s="20">
        <v>985</v>
      </c>
      <c r="D17" s="1">
        <v>7</v>
      </c>
      <c r="E17" s="24">
        <v>220.5</v>
      </c>
      <c r="F17" s="62">
        <f t="shared" si="3"/>
        <v>227.11500000000001</v>
      </c>
      <c r="G17" s="66">
        <f t="shared" si="0"/>
        <v>231.52500000000001</v>
      </c>
      <c r="H17" s="72">
        <f t="shared" si="4"/>
        <v>242.55</v>
      </c>
      <c r="I17" s="10"/>
      <c r="J17" s="10">
        <f t="shared" si="6"/>
        <v>18522</v>
      </c>
      <c r="K17" s="10">
        <f t="shared" si="1"/>
        <v>16.537499999999998</v>
      </c>
      <c r="L17" s="10">
        <f t="shared" si="7"/>
        <v>19911.149999999998</v>
      </c>
      <c r="M17" s="10">
        <f t="shared" si="5"/>
        <v>1659.2624999999998</v>
      </c>
      <c r="N17" s="24">
        <f t="shared" si="8"/>
        <v>2.6862944162436548</v>
      </c>
      <c r="O17" s="25">
        <f t="shared" si="2"/>
        <v>54.551095890410956</v>
      </c>
      <c r="S17" s="10"/>
      <c r="T17" s="24"/>
      <c r="U17" s="24"/>
    </row>
    <row r="18" spans="2:21" x14ac:dyDescent="0.25">
      <c r="B18" s="8" t="s">
        <v>8</v>
      </c>
      <c r="C18" s="20">
        <v>1209</v>
      </c>
      <c r="D18" s="1">
        <v>7</v>
      </c>
      <c r="E18" s="24">
        <v>63</v>
      </c>
      <c r="F18" s="62">
        <f t="shared" si="3"/>
        <v>64.89</v>
      </c>
      <c r="G18" s="66">
        <f t="shared" si="0"/>
        <v>66.150000000000006</v>
      </c>
      <c r="H18" s="72">
        <f t="shared" si="4"/>
        <v>69.300000000000011</v>
      </c>
      <c r="I18" s="10"/>
      <c r="J18" s="10">
        <f t="shared" si="6"/>
        <v>5292</v>
      </c>
      <c r="K18" s="10">
        <f t="shared" si="1"/>
        <v>4.7249999999999996</v>
      </c>
      <c r="L18" s="10">
        <f t="shared" si="7"/>
        <v>5688.9</v>
      </c>
      <c r="M18" s="10">
        <f t="shared" si="5"/>
        <v>474.07499999999999</v>
      </c>
      <c r="N18" s="24">
        <f t="shared" si="8"/>
        <v>0.62531017369727049</v>
      </c>
      <c r="O18" s="25">
        <f t="shared" si="2"/>
        <v>15.586027397260272</v>
      </c>
      <c r="S18" s="10"/>
      <c r="T18" s="24"/>
      <c r="U18" s="24"/>
    </row>
    <row r="19" spans="2:21" x14ac:dyDescent="0.25">
      <c r="B19" s="8" t="s">
        <v>33</v>
      </c>
      <c r="C19" s="20">
        <v>1209</v>
      </c>
      <c r="D19" s="29">
        <v>13</v>
      </c>
      <c r="E19" s="24">
        <v>21</v>
      </c>
      <c r="F19" s="62">
        <f t="shared" si="3"/>
        <v>21.63</v>
      </c>
      <c r="G19" s="66">
        <f t="shared" si="0"/>
        <v>22.05</v>
      </c>
      <c r="H19" s="72">
        <f t="shared" si="4"/>
        <v>23.1</v>
      </c>
      <c r="I19" s="26" t="s">
        <v>94</v>
      </c>
      <c r="J19" s="10" t="s">
        <v>10</v>
      </c>
      <c r="K19" s="10">
        <f t="shared" si="1"/>
        <v>1.575</v>
      </c>
      <c r="L19" s="10"/>
      <c r="M19" s="10"/>
      <c r="N19" s="24"/>
      <c r="O19" s="25">
        <f>+(E19+K19)*12/365</f>
        <v>0.74219178082191772</v>
      </c>
      <c r="S19" s="10"/>
      <c r="T19" s="24"/>
    </row>
    <row r="20" spans="2:21" x14ac:dyDescent="0.25">
      <c r="B20" s="56" t="s">
        <v>49</v>
      </c>
      <c r="D20" s="1">
        <f>SUM(D9:D19)</f>
        <v>57</v>
      </c>
      <c r="E20" s="1"/>
      <c r="F20" s="1"/>
      <c r="G20" s="1"/>
      <c r="H20" s="1"/>
      <c r="I20" s="1"/>
      <c r="J20" s="1"/>
      <c r="K20" s="1"/>
      <c r="L20" s="1"/>
      <c r="M20" s="1"/>
      <c r="N20" s="1"/>
      <c r="O20" s="11"/>
      <c r="U20" s="24"/>
    </row>
    <row r="21" spans="2:21" x14ac:dyDescent="0.25">
      <c r="C21" s="12"/>
      <c r="D21" s="1"/>
      <c r="E21" s="1"/>
      <c r="F21" s="1"/>
      <c r="G21" s="1"/>
      <c r="H21" s="1"/>
      <c r="I21" s="26" t="s">
        <v>16</v>
      </c>
      <c r="J21" t="s">
        <v>95</v>
      </c>
      <c r="M21" s="1"/>
      <c r="N21" s="1"/>
      <c r="O21" s="11"/>
      <c r="U21" s="24"/>
    </row>
    <row r="22" spans="2:21" x14ac:dyDescent="0.25">
      <c r="B22" s="12"/>
      <c r="C22" s="12"/>
      <c r="D22" s="1"/>
      <c r="E22" s="1"/>
      <c r="F22" s="1"/>
      <c r="G22" s="1"/>
      <c r="H22" s="1"/>
      <c r="I22" s="26" t="s">
        <v>17</v>
      </c>
      <c r="J22" t="s">
        <v>18</v>
      </c>
      <c r="O22" s="11"/>
      <c r="S22" s="24"/>
      <c r="T22" s="1"/>
      <c r="U22" s="24"/>
    </row>
    <row r="23" spans="2:21" x14ac:dyDescent="0.25">
      <c r="B23" s="12"/>
      <c r="C23" s="12"/>
      <c r="D23" s="1"/>
      <c r="E23" s="1"/>
      <c r="F23" s="1"/>
      <c r="G23" s="1"/>
      <c r="H23" s="1"/>
      <c r="I23" s="26" t="s">
        <v>57</v>
      </c>
      <c r="J23" t="s">
        <v>96</v>
      </c>
      <c r="O23" s="11"/>
      <c r="S23" s="24"/>
      <c r="T23" s="1"/>
      <c r="U23" s="24"/>
    </row>
    <row r="24" spans="2:21" x14ac:dyDescent="0.25">
      <c r="B24" s="12"/>
      <c r="C24" s="12"/>
      <c r="D24" s="1"/>
      <c r="E24" s="1"/>
      <c r="F24" s="1"/>
      <c r="G24" s="1"/>
      <c r="H24" s="1"/>
      <c r="I24" s="59"/>
      <c r="O24" s="11"/>
      <c r="S24" s="24"/>
    </row>
    <row r="25" spans="2:21" x14ac:dyDescent="0.25">
      <c r="B25" s="8"/>
      <c r="C25" s="8"/>
      <c r="D25" s="7"/>
      <c r="E25" s="7"/>
      <c r="F25" s="7"/>
      <c r="G25" s="7"/>
      <c r="H25" s="7"/>
      <c r="I25" s="26" t="s">
        <v>94</v>
      </c>
      <c r="J25" t="s">
        <v>52</v>
      </c>
      <c r="O25" s="11"/>
    </row>
    <row r="26" spans="2:21" x14ac:dyDescent="0.25">
      <c r="B26" s="8"/>
      <c r="C26" s="8"/>
      <c r="D26" s="7"/>
      <c r="E26" s="7"/>
      <c r="F26" s="7"/>
      <c r="G26" s="7"/>
      <c r="H26" s="7"/>
      <c r="I26" s="7"/>
      <c r="J26" s="30" t="s">
        <v>53</v>
      </c>
      <c r="K26" s="7"/>
      <c r="L26" s="7"/>
      <c r="M26" s="7"/>
      <c r="N26" s="7"/>
      <c r="O26" s="11"/>
    </row>
    <row r="27" spans="2:21" x14ac:dyDescent="0.25">
      <c r="B27" s="8" t="s">
        <v>11</v>
      </c>
      <c r="C27" s="8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11"/>
    </row>
    <row r="28" spans="2:21" x14ac:dyDescent="0.25">
      <c r="B28" s="8" t="s">
        <v>35</v>
      </c>
      <c r="C28" s="8"/>
      <c r="O28" s="6"/>
    </row>
    <row r="29" spans="2:21" x14ac:dyDescent="0.25">
      <c r="B29" s="8"/>
      <c r="C29" s="8"/>
      <c r="D29" s="7"/>
      <c r="E29" s="7"/>
      <c r="F29" s="7"/>
      <c r="G29" s="7"/>
      <c r="H29" s="7"/>
      <c r="I29" s="7"/>
      <c r="J29" s="1"/>
      <c r="K29" s="1"/>
      <c r="L29" s="1"/>
      <c r="M29" s="1"/>
      <c r="N29" s="1"/>
      <c r="O29" s="11"/>
    </row>
    <row r="30" spans="2:21" x14ac:dyDescent="0.25"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1"/>
    </row>
    <row r="31" spans="2:21" x14ac:dyDescent="0.25">
      <c r="B31" s="13" t="s">
        <v>19</v>
      </c>
      <c r="C31" s="1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5"/>
    </row>
    <row r="32" spans="2:21" x14ac:dyDescent="0.25">
      <c r="B32" s="13" t="s">
        <v>13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5"/>
    </row>
    <row r="33" spans="2:15" ht="15.75" thickBot="1" x14ac:dyDescent="0.3">
      <c r="B33" s="17"/>
      <c r="C33" s="17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9"/>
    </row>
    <row r="34" spans="2:15" x14ac:dyDescent="0.25"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x14ac:dyDescent="0.25">
      <c r="B35" t="s">
        <v>56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x14ac:dyDescent="0.25"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60.75" thickBot="1" x14ac:dyDescent="0.3">
      <c r="C37" s="90" t="s">
        <v>71</v>
      </c>
      <c r="D37" s="1"/>
      <c r="E37" s="89" t="s">
        <v>72</v>
      </c>
      <c r="F37" s="89" t="s">
        <v>70</v>
      </c>
      <c r="G37" s="1"/>
      <c r="H37" s="1"/>
      <c r="I37" s="1"/>
      <c r="J37" s="1"/>
      <c r="K37" s="1"/>
      <c r="L37" s="1"/>
      <c r="M37" s="1"/>
      <c r="N37" s="1"/>
      <c r="O37" s="1"/>
    </row>
    <row r="38" spans="2:15" x14ac:dyDescent="0.25">
      <c r="C38" s="127">
        <v>0.03</v>
      </c>
      <c r="D38" s="63"/>
      <c r="E38" s="63"/>
      <c r="F38" s="73"/>
      <c r="J38" t="s">
        <v>23</v>
      </c>
      <c r="M38" s="1"/>
      <c r="N38" s="1"/>
      <c r="O38" s="1"/>
    </row>
    <row r="39" spans="2:15" x14ac:dyDescent="0.25">
      <c r="B39" s="8" t="s">
        <v>29</v>
      </c>
      <c r="C39" s="120">
        <f t="shared" ref="C39:C49" si="9">F9-E9</f>
        <v>39.059999999999945</v>
      </c>
      <c r="D39" s="64">
        <f t="shared" ref="D39:D49" si="10">D9*C39</f>
        <v>39.059999999999945</v>
      </c>
      <c r="E39" s="64">
        <f t="shared" ref="E39:E49" si="11">D39*12</f>
        <v>468.71999999999935</v>
      </c>
      <c r="F39" s="121"/>
      <c r="I39" s="86">
        <v>1</v>
      </c>
      <c r="J39" s="86" t="s">
        <v>58</v>
      </c>
      <c r="K39" s="100">
        <v>1240</v>
      </c>
      <c r="L39" s="87">
        <f t="shared" ref="L39:L48" si="12">K39*I39</f>
        <v>1240</v>
      </c>
      <c r="M39" s="1"/>
      <c r="N39" s="1"/>
      <c r="O39" s="1"/>
    </row>
    <row r="40" spans="2:15" x14ac:dyDescent="0.25">
      <c r="B40" s="8" t="s">
        <v>30</v>
      </c>
      <c r="C40" s="120">
        <f t="shared" si="9"/>
        <v>13.072499999999991</v>
      </c>
      <c r="D40" s="64">
        <f t="shared" si="10"/>
        <v>13.072499999999991</v>
      </c>
      <c r="E40" s="64">
        <f t="shared" si="11"/>
        <v>156.86999999999989</v>
      </c>
      <c r="F40" s="74"/>
      <c r="I40" s="86">
        <v>1</v>
      </c>
      <c r="J40" s="86" t="s">
        <v>59</v>
      </c>
      <c r="K40" s="100">
        <v>435.75</v>
      </c>
      <c r="L40" s="87">
        <f t="shared" si="12"/>
        <v>435.75</v>
      </c>
      <c r="M40" s="1"/>
      <c r="N40" s="1"/>
      <c r="O40" s="1"/>
    </row>
    <row r="41" spans="2:15" x14ac:dyDescent="0.25">
      <c r="B41" s="8" t="s">
        <v>37</v>
      </c>
      <c r="C41" s="120">
        <f t="shared" si="9"/>
        <v>25.987500000000068</v>
      </c>
      <c r="D41" s="64">
        <f t="shared" si="10"/>
        <v>25.987500000000068</v>
      </c>
      <c r="E41" s="64">
        <f t="shared" si="11"/>
        <v>311.85000000000082</v>
      </c>
      <c r="F41" s="74"/>
      <c r="I41" s="86">
        <v>1</v>
      </c>
      <c r="J41" s="86" t="s">
        <v>60</v>
      </c>
      <c r="K41" s="100">
        <v>700</v>
      </c>
      <c r="L41" s="87">
        <f t="shared" si="12"/>
        <v>700</v>
      </c>
      <c r="M41" s="1"/>
      <c r="N41" s="1"/>
      <c r="O41" s="1"/>
    </row>
    <row r="42" spans="2:15" x14ac:dyDescent="0.25">
      <c r="B42" s="8" t="s">
        <v>100</v>
      </c>
      <c r="C42" s="120">
        <f t="shared" si="9"/>
        <v>49.200000000000045</v>
      </c>
      <c r="D42" s="64">
        <f t="shared" si="10"/>
        <v>49.200000000000045</v>
      </c>
      <c r="E42" s="64">
        <f t="shared" si="11"/>
        <v>590.40000000000055</v>
      </c>
      <c r="F42" s="74"/>
      <c r="I42" s="86">
        <v>1</v>
      </c>
      <c r="J42" s="86" t="s">
        <v>100</v>
      </c>
      <c r="K42" s="100">
        <v>1200</v>
      </c>
      <c r="L42" s="87">
        <v>1200</v>
      </c>
      <c r="M42" s="1"/>
      <c r="N42" s="1"/>
      <c r="O42" s="1"/>
    </row>
    <row r="43" spans="2:15" x14ac:dyDescent="0.25">
      <c r="B43" s="8" t="s">
        <v>31</v>
      </c>
      <c r="C43" s="120">
        <f t="shared" si="9"/>
        <v>8.5049999999999955</v>
      </c>
      <c r="D43" s="64">
        <f t="shared" si="10"/>
        <v>25.514999999999986</v>
      </c>
      <c r="E43" s="64">
        <f t="shared" si="11"/>
        <v>306.17999999999984</v>
      </c>
      <c r="F43" s="74">
        <f t="shared" ref="F43:F49" si="13">C43*12</f>
        <v>102.05999999999995</v>
      </c>
      <c r="I43" s="86">
        <v>3</v>
      </c>
      <c r="J43" s="86" t="s">
        <v>61</v>
      </c>
      <c r="K43" s="100">
        <v>283.5</v>
      </c>
      <c r="L43" s="87">
        <f t="shared" si="12"/>
        <v>850.5</v>
      </c>
      <c r="M43" s="1"/>
      <c r="N43" s="1"/>
      <c r="O43" s="1"/>
    </row>
    <row r="44" spans="2:15" x14ac:dyDescent="0.25">
      <c r="B44" s="8" t="s">
        <v>32</v>
      </c>
      <c r="C44" s="120">
        <f t="shared" si="9"/>
        <v>8.1899999999999977</v>
      </c>
      <c r="D44" s="64">
        <f t="shared" si="10"/>
        <v>122.84999999999997</v>
      </c>
      <c r="E44" s="64">
        <f t="shared" si="11"/>
        <v>1474.1999999999996</v>
      </c>
      <c r="F44" s="74">
        <f t="shared" si="13"/>
        <v>98.279999999999973</v>
      </c>
      <c r="I44" s="86">
        <v>15</v>
      </c>
      <c r="J44" s="86" t="s">
        <v>101</v>
      </c>
      <c r="K44" s="100">
        <v>273</v>
      </c>
      <c r="L44" s="87">
        <f t="shared" si="12"/>
        <v>4095</v>
      </c>
      <c r="M44" s="32"/>
      <c r="N44" s="1"/>
      <c r="O44" s="1"/>
    </row>
    <row r="45" spans="2:15" x14ac:dyDescent="0.25">
      <c r="B45" s="8" t="s">
        <v>43</v>
      </c>
      <c r="C45" s="120">
        <f t="shared" si="9"/>
        <v>11.497500000000002</v>
      </c>
      <c r="D45" s="64">
        <f t="shared" si="10"/>
        <v>45.990000000000009</v>
      </c>
      <c r="E45" s="64">
        <f t="shared" si="11"/>
        <v>551.88000000000011</v>
      </c>
      <c r="F45" s="74">
        <f t="shared" si="13"/>
        <v>137.97000000000003</v>
      </c>
      <c r="I45" s="86">
        <v>4</v>
      </c>
      <c r="J45" s="86" t="s">
        <v>62</v>
      </c>
      <c r="K45" s="100">
        <v>383.25</v>
      </c>
      <c r="L45" s="87">
        <f t="shared" si="12"/>
        <v>1533</v>
      </c>
      <c r="M45" s="1"/>
      <c r="N45" s="1"/>
      <c r="O45" s="1"/>
    </row>
    <row r="46" spans="2:15" x14ac:dyDescent="0.25">
      <c r="B46" s="8" t="s">
        <v>42</v>
      </c>
      <c r="C46" s="120">
        <f t="shared" si="9"/>
        <v>8.9775000000000205</v>
      </c>
      <c r="D46" s="64">
        <f t="shared" si="10"/>
        <v>35.910000000000082</v>
      </c>
      <c r="E46" s="64">
        <f t="shared" si="11"/>
        <v>430.92000000000098</v>
      </c>
      <c r="F46" s="74">
        <f t="shared" si="13"/>
        <v>107.73000000000025</v>
      </c>
      <c r="I46" s="86">
        <v>4</v>
      </c>
      <c r="J46" s="86" t="s">
        <v>63</v>
      </c>
      <c r="K46" s="100">
        <v>299.25</v>
      </c>
      <c r="L46" s="87">
        <f t="shared" si="12"/>
        <v>1197</v>
      </c>
      <c r="M46" s="1"/>
      <c r="N46" s="1"/>
      <c r="O46" s="1"/>
    </row>
    <row r="47" spans="2:15" x14ac:dyDescent="0.25">
      <c r="B47" s="8" t="s">
        <v>7</v>
      </c>
      <c r="C47" s="120">
        <f t="shared" si="9"/>
        <v>6.6150000000000091</v>
      </c>
      <c r="D47" s="64">
        <f t="shared" si="10"/>
        <v>46.305000000000064</v>
      </c>
      <c r="E47" s="64">
        <f t="shared" si="11"/>
        <v>555.66000000000076</v>
      </c>
      <c r="F47" s="74">
        <f t="shared" si="13"/>
        <v>79.380000000000109</v>
      </c>
      <c r="I47" s="86">
        <v>7</v>
      </c>
      <c r="J47" s="86" t="s">
        <v>64</v>
      </c>
      <c r="K47" s="100">
        <v>220.5</v>
      </c>
      <c r="L47" s="87">
        <f t="shared" si="12"/>
        <v>1543.5</v>
      </c>
      <c r="M47" s="1"/>
      <c r="N47" s="1"/>
      <c r="O47" s="1"/>
    </row>
    <row r="48" spans="2:15" x14ac:dyDescent="0.25">
      <c r="B48" s="8" t="s">
        <v>8</v>
      </c>
      <c r="C48" s="120">
        <f t="shared" si="9"/>
        <v>1.8900000000000006</v>
      </c>
      <c r="D48" s="64">
        <f t="shared" si="10"/>
        <v>13.230000000000004</v>
      </c>
      <c r="E48" s="64">
        <f t="shared" si="11"/>
        <v>158.76000000000005</v>
      </c>
      <c r="F48" s="74">
        <f t="shared" si="13"/>
        <v>22.680000000000007</v>
      </c>
      <c r="I48" s="86">
        <v>7</v>
      </c>
      <c r="J48" s="86" t="s">
        <v>65</v>
      </c>
      <c r="K48" s="100">
        <v>63</v>
      </c>
      <c r="L48" s="87">
        <f t="shared" si="12"/>
        <v>441</v>
      </c>
      <c r="M48" s="32"/>
      <c r="N48" s="1"/>
      <c r="O48" s="1"/>
    </row>
    <row r="49" spans="2:17" ht="15.75" thickBot="1" x14ac:dyDescent="0.3">
      <c r="B49" s="8" t="s">
        <v>33</v>
      </c>
      <c r="C49" s="120">
        <f t="shared" si="9"/>
        <v>0.62999999999999901</v>
      </c>
      <c r="D49" s="64">
        <f t="shared" si="10"/>
        <v>8.1899999999999871</v>
      </c>
      <c r="E49" s="64">
        <f t="shared" si="11"/>
        <v>98.279999999999845</v>
      </c>
      <c r="F49" s="74">
        <f t="shared" si="13"/>
        <v>7.5599999999999881</v>
      </c>
      <c r="I49" s="86">
        <v>4</v>
      </c>
      <c r="J49" s="86" t="s">
        <v>66</v>
      </c>
      <c r="K49" s="100">
        <v>21</v>
      </c>
      <c r="L49" s="87">
        <f>K49*I49</f>
        <v>84</v>
      </c>
      <c r="M49" s="1"/>
      <c r="N49" s="1"/>
      <c r="O49" s="1"/>
    </row>
    <row r="50" spans="2:17" ht="15.75" thickBot="1" x14ac:dyDescent="0.3">
      <c r="B50" s="8"/>
      <c r="C50" s="122"/>
      <c r="D50" s="123"/>
      <c r="E50" s="124">
        <f>SUM(E39:E49)</f>
        <v>5103.7200000000021</v>
      </c>
      <c r="F50" s="75"/>
      <c r="L50" s="85">
        <f>SUM(L39:L49)</f>
        <v>13319.75</v>
      </c>
      <c r="M50" s="81">
        <f>L50*0.075</f>
        <v>998.98124999999993</v>
      </c>
      <c r="N50" s="83">
        <f>L50+M50</f>
        <v>14318.731250000001</v>
      </c>
      <c r="O50" s="84"/>
    </row>
    <row r="51" spans="2:17" ht="15.75" thickBot="1" x14ac:dyDescent="0.3">
      <c r="B51" s="8"/>
      <c r="C51" s="20"/>
      <c r="D51" s="1"/>
      <c r="E51" s="31"/>
      <c r="F51" s="31"/>
      <c r="G51" s="31"/>
      <c r="H51" s="31"/>
      <c r="I51" s="88">
        <f>SUM(I39:I49)</f>
        <v>48</v>
      </c>
      <c r="J51" s="1"/>
      <c r="K51" s="24"/>
      <c r="L51" s="80" t="s">
        <v>67</v>
      </c>
      <c r="M51" s="82" t="s">
        <v>68</v>
      </c>
      <c r="N51" s="133" t="s">
        <v>69</v>
      </c>
      <c r="O51" s="134"/>
    </row>
    <row r="52" spans="2:17" x14ac:dyDescent="0.25">
      <c r="C52" s="126">
        <v>0.05</v>
      </c>
      <c r="D52" s="67"/>
      <c r="E52" s="67"/>
      <c r="F52" s="68"/>
      <c r="G52" s="1"/>
      <c r="H52" s="1"/>
      <c r="I52" s="1"/>
      <c r="J52" s="1"/>
      <c r="K52" s="32"/>
      <c r="L52" s="1"/>
      <c r="M52" s="1"/>
      <c r="N52" s="1"/>
    </row>
    <row r="53" spans="2:17" x14ac:dyDescent="0.25">
      <c r="B53" s="8" t="s">
        <v>29</v>
      </c>
      <c r="C53" s="114">
        <f>G9-E9</f>
        <v>65.100000000000136</v>
      </c>
      <c r="D53" s="69">
        <f>C53*D9</f>
        <v>65.100000000000136</v>
      </c>
      <c r="E53" s="69">
        <f>D53*12</f>
        <v>781.20000000000164</v>
      </c>
      <c r="F53" s="115"/>
      <c r="G53" s="1"/>
      <c r="H53" s="1"/>
      <c r="I53" s="1"/>
      <c r="J53" s="1"/>
      <c r="K53" s="1"/>
      <c r="L53" s="1"/>
      <c r="M53" s="1"/>
      <c r="N53" s="1"/>
    </row>
    <row r="54" spans="2:17" x14ac:dyDescent="0.25">
      <c r="B54" s="8" t="s">
        <v>30</v>
      </c>
      <c r="C54" s="114">
        <f>G10-E10</f>
        <v>21.787500000000023</v>
      </c>
      <c r="D54" s="69">
        <f>D10*C54</f>
        <v>21.787500000000023</v>
      </c>
      <c r="E54" s="69">
        <f>D54*12</f>
        <v>261.45000000000027</v>
      </c>
      <c r="F54" s="115"/>
      <c r="G54" s="1"/>
      <c r="H54" s="1"/>
      <c r="I54" s="1"/>
      <c r="J54" s="1"/>
      <c r="K54" s="1"/>
      <c r="L54" s="1"/>
      <c r="M54" s="1"/>
      <c r="N54" s="1"/>
    </row>
    <row r="55" spans="2:17" x14ac:dyDescent="0.25">
      <c r="B55" s="8" t="s">
        <v>37</v>
      </c>
      <c r="C55" s="114">
        <f>G11-E11</f>
        <v>43.3125</v>
      </c>
      <c r="D55" s="69">
        <f>D11*C55</f>
        <v>43.3125</v>
      </c>
      <c r="E55" s="69">
        <f t="shared" ref="E55:E63" si="14">D55*12</f>
        <v>519.75</v>
      </c>
      <c r="F55" s="115"/>
      <c r="G55" s="1"/>
      <c r="H55" s="1"/>
      <c r="I55" s="1"/>
      <c r="J55" s="9" t="s">
        <v>46</v>
      </c>
      <c r="K55" s="32"/>
      <c r="L55" s="1"/>
      <c r="M55" s="9"/>
      <c r="N55" s="1" t="s">
        <v>105</v>
      </c>
      <c r="O55" t="s">
        <v>106</v>
      </c>
      <c r="Q55" s="12"/>
    </row>
    <row r="56" spans="2:17" x14ac:dyDescent="0.25">
      <c r="B56" s="8" t="s">
        <v>100</v>
      </c>
      <c r="C56" s="114">
        <f t="shared" ref="C56:C58" si="15">G12-E12</f>
        <v>82</v>
      </c>
      <c r="D56" s="69">
        <f t="shared" ref="D56:D57" si="16">D12*C56</f>
        <v>82</v>
      </c>
      <c r="E56" s="69">
        <f t="shared" si="14"/>
        <v>984</v>
      </c>
      <c r="F56" s="115"/>
      <c r="G56" s="1"/>
      <c r="H56" s="91">
        <v>0.03</v>
      </c>
      <c r="I56" s="86">
        <v>1</v>
      </c>
      <c r="J56" s="86" t="s">
        <v>58</v>
      </c>
      <c r="K56" s="100">
        <v>1341.06</v>
      </c>
      <c r="L56" s="87">
        <f t="shared" ref="L56:L58" si="17">K56*I56</f>
        <v>1341.06</v>
      </c>
      <c r="M56" s="1"/>
      <c r="N56" s="10">
        <f>L56-L39</f>
        <v>101.05999999999995</v>
      </c>
      <c r="O56" s="10">
        <f>(N56*1.075) *12</f>
        <v>1303.6739999999993</v>
      </c>
      <c r="Q56" s="12"/>
    </row>
    <row r="57" spans="2:17" x14ac:dyDescent="0.25">
      <c r="B57" s="8" t="s">
        <v>31</v>
      </c>
      <c r="C57" s="114">
        <f t="shared" si="15"/>
        <v>14.175000000000011</v>
      </c>
      <c r="D57" s="69">
        <f t="shared" si="16"/>
        <v>42.525000000000034</v>
      </c>
      <c r="E57" s="69">
        <f t="shared" si="14"/>
        <v>510.30000000000041</v>
      </c>
      <c r="F57" s="70">
        <f t="shared" ref="F57:F63" si="18">C57*12</f>
        <v>170.10000000000014</v>
      </c>
      <c r="G57" s="1"/>
      <c r="H57" s="1"/>
      <c r="I57" s="86">
        <v>1</v>
      </c>
      <c r="J57" s="86" t="s">
        <v>59</v>
      </c>
      <c r="K57" s="100">
        <v>448.82</v>
      </c>
      <c r="L57" s="87">
        <f t="shared" si="17"/>
        <v>448.82</v>
      </c>
      <c r="M57" s="1"/>
      <c r="N57" s="10">
        <f t="shared" ref="N57:N66" si="19">L57-L40</f>
        <v>13.069999999999993</v>
      </c>
      <c r="O57" s="10">
        <f t="shared" ref="O57:O66" si="20">(N57*1.075) *12</f>
        <v>168.60299999999989</v>
      </c>
      <c r="Q57" s="24"/>
    </row>
    <row r="58" spans="2:17" x14ac:dyDescent="0.25">
      <c r="B58" s="8" t="s">
        <v>32</v>
      </c>
      <c r="C58" s="114">
        <f t="shared" si="15"/>
        <v>13.650000000000034</v>
      </c>
      <c r="D58" s="69">
        <f t="shared" ref="D58:D63" si="21">D14*C58</f>
        <v>204.75000000000051</v>
      </c>
      <c r="E58" s="69">
        <f t="shared" si="14"/>
        <v>2457.0000000000064</v>
      </c>
      <c r="F58" s="70">
        <f t="shared" si="18"/>
        <v>163.80000000000041</v>
      </c>
      <c r="G58" s="1"/>
      <c r="H58" s="1"/>
      <c r="I58" s="86">
        <v>1</v>
      </c>
      <c r="J58" s="86" t="s">
        <v>60</v>
      </c>
      <c r="K58" s="100">
        <v>892.24</v>
      </c>
      <c r="L58" s="87">
        <f t="shared" si="17"/>
        <v>892.24</v>
      </c>
      <c r="M58" s="1"/>
      <c r="N58" s="10">
        <f t="shared" si="19"/>
        <v>192.24</v>
      </c>
      <c r="O58" s="10">
        <f t="shared" si="20"/>
        <v>2479.8959999999997</v>
      </c>
      <c r="Q58" s="24"/>
    </row>
    <row r="59" spans="2:17" x14ac:dyDescent="0.25">
      <c r="B59" s="8" t="s">
        <v>43</v>
      </c>
      <c r="C59" s="114">
        <f>G15-E15</f>
        <v>19.162500000000023</v>
      </c>
      <c r="D59" s="69">
        <f t="shared" si="21"/>
        <v>76.650000000000091</v>
      </c>
      <c r="E59" s="69">
        <f t="shared" si="14"/>
        <v>919.80000000000109</v>
      </c>
      <c r="F59" s="70">
        <f t="shared" si="18"/>
        <v>229.95000000000027</v>
      </c>
      <c r="G59" s="1"/>
      <c r="H59" s="1"/>
      <c r="I59" s="86">
        <v>1</v>
      </c>
      <c r="J59" s="86" t="s">
        <v>100</v>
      </c>
      <c r="K59" s="100">
        <v>1689.2</v>
      </c>
      <c r="L59" s="87">
        <v>1200</v>
      </c>
      <c r="M59" s="1"/>
      <c r="N59" s="10">
        <f>K59-L42</f>
        <v>489.20000000000005</v>
      </c>
      <c r="O59" s="10">
        <f t="shared" si="20"/>
        <v>6310.68</v>
      </c>
      <c r="Q59" s="24"/>
    </row>
    <row r="60" spans="2:17" x14ac:dyDescent="0.25">
      <c r="B60" s="8" t="s">
        <v>42</v>
      </c>
      <c r="C60" s="114">
        <f>G16-E16</f>
        <v>14.962500000000034</v>
      </c>
      <c r="D60" s="69">
        <f t="shared" si="21"/>
        <v>59.850000000000136</v>
      </c>
      <c r="E60" s="69">
        <f t="shared" si="14"/>
        <v>718.20000000000164</v>
      </c>
      <c r="F60" s="70">
        <f t="shared" si="18"/>
        <v>179.55000000000041</v>
      </c>
      <c r="G60" s="10"/>
      <c r="H60" s="10"/>
      <c r="I60" s="86">
        <v>3</v>
      </c>
      <c r="J60" s="86" t="s">
        <v>61</v>
      </c>
      <c r="K60" s="100">
        <v>292.01</v>
      </c>
      <c r="L60" s="87">
        <f t="shared" ref="L60:L65" si="22">K60*I60</f>
        <v>876.03</v>
      </c>
      <c r="M60" s="1"/>
      <c r="N60" s="10">
        <f t="shared" si="19"/>
        <v>25.529999999999973</v>
      </c>
      <c r="O60" s="10">
        <f t="shared" si="20"/>
        <v>329.33699999999965</v>
      </c>
      <c r="Q60" s="24"/>
    </row>
    <row r="61" spans="2:17" x14ac:dyDescent="0.25">
      <c r="B61" s="8" t="s">
        <v>7</v>
      </c>
      <c r="C61" s="114">
        <f>G17-E17</f>
        <v>11.025000000000006</v>
      </c>
      <c r="D61" s="69">
        <f t="shared" si="21"/>
        <v>77.17500000000004</v>
      </c>
      <c r="E61" s="69">
        <f t="shared" si="14"/>
        <v>926.10000000000048</v>
      </c>
      <c r="F61" s="70">
        <f t="shared" si="18"/>
        <v>132.30000000000007</v>
      </c>
      <c r="G61" s="10"/>
      <c r="H61" s="10"/>
      <c r="I61" s="86">
        <v>15</v>
      </c>
      <c r="J61" s="86" t="s">
        <v>101</v>
      </c>
      <c r="K61" s="100">
        <v>281.19</v>
      </c>
      <c r="L61" s="87">
        <f t="shared" si="22"/>
        <v>4217.8500000000004</v>
      </c>
      <c r="M61" s="32"/>
      <c r="N61" s="10">
        <f t="shared" si="19"/>
        <v>122.85000000000036</v>
      </c>
      <c r="O61" s="10">
        <f t="shared" si="20"/>
        <v>1584.7650000000049</v>
      </c>
    </row>
    <row r="62" spans="2:17" x14ac:dyDescent="0.25">
      <c r="B62" s="8" t="s">
        <v>8</v>
      </c>
      <c r="C62" s="114">
        <f>G18-E18</f>
        <v>3.1500000000000057</v>
      </c>
      <c r="D62" s="69">
        <f t="shared" si="21"/>
        <v>22.05000000000004</v>
      </c>
      <c r="E62" s="69">
        <f t="shared" si="14"/>
        <v>264.60000000000048</v>
      </c>
      <c r="F62" s="70">
        <f t="shared" si="18"/>
        <v>37.800000000000068</v>
      </c>
      <c r="G62" s="10"/>
      <c r="H62" s="10"/>
      <c r="I62" s="86">
        <v>4</v>
      </c>
      <c r="J62" s="86" t="s">
        <v>62</v>
      </c>
      <c r="K62" s="100">
        <v>394.75</v>
      </c>
      <c r="L62" s="87">
        <f t="shared" si="22"/>
        <v>1579</v>
      </c>
      <c r="M62" s="1"/>
      <c r="N62" s="10">
        <f t="shared" si="19"/>
        <v>46</v>
      </c>
      <c r="O62" s="10">
        <f t="shared" si="20"/>
        <v>593.4</v>
      </c>
      <c r="Q62" s="24"/>
    </row>
    <row r="63" spans="2:17" x14ac:dyDescent="0.25">
      <c r="B63" s="8" t="s">
        <v>33</v>
      </c>
      <c r="C63" s="114">
        <f>G19-E19</f>
        <v>1.0500000000000007</v>
      </c>
      <c r="D63" s="69">
        <f t="shared" si="21"/>
        <v>13.650000000000009</v>
      </c>
      <c r="E63" s="69">
        <f t="shared" si="14"/>
        <v>163.80000000000013</v>
      </c>
      <c r="F63" s="70">
        <f t="shared" si="18"/>
        <v>12.600000000000009</v>
      </c>
      <c r="G63" s="10"/>
      <c r="H63" s="10"/>
      <c r="I63" s="86">
        <v>4</v>
      </c>
      <c r="J63" s="86" t="s">
        <v>63</v>
      </c>
      <c r="K63" s="100">
        <v>308.23</v>
      </c>
      <c r="L63" s="87">
        <f t="shared" si="22"/>
        <v>1232.92</v>
      </c>
      <c r="M63" s="1"/>
      <c r="N63" s="10">
        <f t="shared" si="19"/>
        <v>35.920000000000073</v>
      </c>
      <c r="O63" s="10">
        <f t="shared" si="20"/>
        <v>463.3680000000009</v>
      </c>
    </row>
    <row r="64" spans="2:17" ht="15.75" thickBot="1" x14ac:dyDescent="0.3">
      <c r="C64" s="116"/>
      <c r="D64" s="117">
        <f>SUM(D53:D63)</f>
        <v>708.85000000000105</v>
      </c>
      <c r="E64" s="118">
        <f>SUM(E53:E63)</f>
        <v>8506.2000000000116</v>
      </c>
      <c r="F64" s="119"/>
      <c r="I64" s="86">
        <v>7</v>
      </c>
      <c r="J64" s="86" t="s">
        <v>64</v>
      </c>
      <c r="K64" s="100">
        <v>227.12</v>
      </c>
      <c r="L64" s="87">
        <f t="shared" si="22"/>
        <v>1589.8400000000001</v>
      </c>
      <c r="M64" s="1"/>
      <c r="N64" s="10">
        <f t="shared" si="19"/>
        <v>46.340000000000146</v>
      </c>
      <c r="O64" s="10">
        <f t="shared" si="20"/>
        <v>597.78600000000188</v>
      </c>
    </row>
    <row r="65" spans="2:15" ht="15.75" thickBot="1" x14ac:dyDescent="0.3">
      <c r="D65" s="56"/>
      <c r="E65" s="24"/>
      <c r="F65" s="24"/>
      <c r="G65" s="24"/>
      <c r="H65" s="24"/>
      <c r="I65" s="86">
        <v>7</v>
      </c>
      <c r="J65" s="86" t="s">
        <v>65</v>
      </c>
      <c r="K65" s="100">
        <v>64.89</v>
      </c>
      <c r="L65" s="87">
        <f t="shared" si="22"/>
        <v>454.23</v>
      </c>
      <c r="M65" s="32"/>
      <c r="N65" s="10">
        <f t="shared" si="19"/>
        <v>13.230000000000018</v>
      </c>
      <c r="O65" s="10">
        <f t="shared" si="20"/>
        <v>170.66700000000023</v>
      </c>
    </row>
    <row r="66" spans="2:15" ht="15.75" thickBot="1" x14ac:dyDescent="0.3">
      <c r="C66" s="125">
        <v>0.1</v>
      </c>
      <c r="D66" s="77"/>
      <c r="E66" s="77"/>
      <c r="F66" s="78"/>
      <c r="I66" s="86">
        <v>4</v>
      </c>
      <c r="J66" s="86" t="s">
        <v>66</v>
      </c>
      <c r="K66" s="100">
        <v>21.63</v>
      </c>
      <c r="L66" s="87">
        <f>K66*I66</f>
        <v>86.52</v>
      </c>
      <c r="M66" s="1"/>
      <c r="N66" s="10">
        <f t="shared" si="19"/>
        <v>2.519999999999996</v>
      </c>
      <c r="O66" s="10">
        <f t="shared" si="20"/>
        <v>32.507999999999946</v>
      </c>
    </row>
    <row r="67" spans="2:15" x14ac:dyDescent="0.25">
      <c r="B67" s="8" t="s">
        <v>29</v>
      </c>
      <c r="C67" s="109">
        <f>H9-E9</f>
        <v>130.20000000000005</v>
      </c>
      <c r="D67" s="76">
        <f>C67*D9</f>
        <v>130.20000000000005</v>
      </c>
      <c r="E67" s="76">
        <f>D67*12</f>
        <v>1562.4000000000005</v>
      </c>
      <c r="F67" s="110"/>
      <c r="L67" s="85">
        <f>SUM(L56:L66)</f>
        <v>13918.51</v>
      </c>
      <c r="M67" s="81">
        <f>L67*0.075</f>
        <v>1043.88825</v>
      </c>
      <c r="N67" s="83">
        <f>L67+M67</f>
        <v>14962.39825</v>
      </c>
      <c r="O67" s="84"/>
    </row>
    <row r="68" spans="2:15" ht="15.75" thickBot="1" x14ac:dyDescent="0.3">
      <c r="B68" s="8" t="s">
        <v>30</v>
      </c>
      <c r="C68" s="109">
        <f>H10-E10</f>
        <v>43.575000000000045</v>
      </c>
      <c r="D68" s="76">
        <f>C68*D10</f>
        <v>43.575000000000045</v>
      </c>
      <c r="E68" s="76">
        <f>D68*12</f>
        <v>522.90000000000055</v>
      </c>
      <c r="F68" s="110"/>
      <c r="I68" s="88">
        <f>SUM(I56:I66)</f>
        <v>48</v>
      </c>
      <c r="J68" s="1"/>
      <c r="K68" s="24"/>
      <c r="L68" s="80" t="s">
        <v>67</v>
      </c>
      <c r="M68" s="82" t="s">
        <v>68</v>
      </c>
      <c r="N68" s="133" t="s">
        <v>69</v>
      </c>
      <c r="O68" s="134"/>
    </row>
    <row r="69" spans="2:15" x14ac:dyDescent="0.25">
      <c r="B69" s="8" t="s">
        <v>37</v>
      </c>
      <c r="C69" s="109">
        <f>H11-E11</f>
        <v>86.625000000000114</v>
      </c>
      <c r="D69" s="76">
        <f>C69*D11</f>
        <v>86.625000000000114</v>
      </c>
      <c r="E69" s="76">
        <f t="shared" ref="E69:E77" si="23">D69*12</f>
        <v>1039.5000000000014</v>
      </c>
      <c r="F69" s="110"/>
    </row>
    <row r="70" spans="2:15" x14ac:dyDescent="0.25">
      <c r="B70" s="8" t="s">
        <v>87</v>
      </c>
      <c r="C70" s="109">
        <f t="shared" ref="C70:C72" si="24">H12-E12</f>
        <v>164.00000000000023</v>
      </c>
      <c r="D70" s="76">
        <f t="shared" ref="D70:D72" si="25">C70*D12</f>
        <v>164.00000000000023</v>
      </c>
      <c r="E70" s="76">
        <f t="shared" si="23"/>
        <v>1968.0000000000027</v>
      </c>
      <c r="F70" s="110"/>
    </row>
    <row r="71" spans="2:15" x14ac:dyDescent="0.25">
      <c r="B71" s="8" t="s">
        <v>31</v>
      </c>
      <c r="C71" s="109">
        <f t="shared" si="24"/>
        <v>28.350000000000023</v>
      </c>
      <c r="D71" s="76">
        <f t="shared" si="25"/>
        <v>85.050000000000068</v>
      </c>
      <c r="E71" s="76">
        <f t="shared" si="23"/>
        <v>1020.6000000000008</v>
      </c>
      <c r="F71" s="79">
        <f>C71*12</f>
        <v>340.20000000000027</v>
      </c>
    </row>
    <row r="72" spans="2:15" x14ac:dyDescent="0.25">
      <c r="B72" s="8" t="s">
        <v>32</v>
      </c>
      <c r="C72" s="109">
        <f t="shared" si="24"/>
        <v>27.300000000000011</v>
      </c>
      <c r="D72" s="76">
        <f t="shared" si="25"/>
        <v>409.50000000000017</v>
      </c>
      <c r="E72" s="76">
        <f t="shared" si="23"/>
        <v>4914.0000000000018</v>
      </c>
      <c r="F72" s="79">
        <f>C72*12</f>
        <v>327.60000000000014</v>
      </c>
    </row>
    <row r="73" spans="2:15" x14ac:dyDescent="0.25">
      <c r="B73" s="8" t="s">
        <v>43</v>
      </c>
      <c r="C73" s="109">
        <f>H15-E15</f>
        <v>38.325000000000045</v>
      </c>
      <c r="D73" s="76">
        <f>C73*D15</f>
        <v>153.30000000000018</v>
      </c>
      <c r="E73" s="76">
        <f t="shared" si="23"/>
        <v>1839.6000000000022</v>
      </c>
      <c r="F73" s="79">
        <f t="shared" ref="F73:F77" si="26">C73*12</f>
        <v>459.90000000000055</v>
      </c>
    </row>
    <row r="74" spans="2:15" x14ac:dyDescent="0.25">
      <c r="B74" s="8" t="s">
        <v>42</v>
      </c>
      <c r="C74" s="109">
        <f>H16-E16</f>
        <v>29.925000000000011</v>
      </c>
      <c r="D74" s="76">
        <f>C74*D16</f>
        <v>119.70000000000005</v>
      </c>
      <c r="E74" s="76">
        <f t="shared" si="23"/>
        <v>1436.4000000000005</v>
      </c>
      <c r="F74" s="79">
        <f t="shared" si="26"/>
        <v>359.10000000000014</v>
      </c>
    </row>
    <row r="75" spans="2:15" x14ac:dyDescent="0.25">
      <c r="B75" s="8" t="s">
        <v>7</v>
      </c>
      <c r="C75" s="109">
        <f>H17-E17</f>
        <v>22.050000000000011</v>
      </c>
      <c r="D75" s="76">
        <f>C75*D17</f>
        <v>154.35000000000008</v>
      </c>
      <c r="E75" s="76">
        <f t="shared" si="23"/>
        <v>1852.200000000001</v>
      </c>
      <c r="F75" s="79">
        <f t="shared" si="26"/>
        <v>264.60000000000014</v>
      </c>
    </row>
    <row r="76" spans="2:15" x14ac:dyDescent="0.25">
      <c r="B76" s="8" t="s">
        <v>8</v>
      </c>
      <c r="C76" s="109">
        <f>H18-E18</f>
        <v>6.3000000000000114</v>
      </c>
      <c r="D76" s="76">
        <f>C76*D18</f>
        <v>44.10000000000008</v>
      </c>
      <c r="E76" s="76">
        <f t="shared" si="23"/>
        <v>529.20000000000095</v>
      </c>
      <c r="F76" s="79">
        <f t="shared" si="26"/>
        <v>75.600000000000136</v>
      </c>
    </row>
    <row r="77" spans="2:15" x14ac:dyDescent="0.25">
      <c r="B77" s="8" t="s">
        <v>33</v>
      </c>
      <c r="C77" s="109">
        <f>H19-E19</f>
        <v>2.1000000000000014</v>
      </c>
      <c r="D77" s="76">
        <f>C77*D19</f>
        <v>27.300000000000018</v>
      </c>
      <c r="E77" s="76">
        <f t="shared" si="23"/>
        <v>327.60000000000025</v>
      </c>
      <c r="F77" s="79">
        <f t="shared" si="26"/>
        <v>25.200000000000017</v>
      </c>
    </row>
    <row r="78" spans="2:15" ht="15.75" thickBot="1" x14ac:dyDescent="0.3">
      <c r="C78" s="111"/>
      <c r="D78" s="112">
        <f>SUM(D67:D77)</f>
        <v>1417.7000000000012</v>
      </c>
      <c r="E78" s="112">
        <f>SUM(E67:E77)</f>
        <v>17012.400000000009</v>
      </c>
      <c r="F78" s="113"/>
    </row>
  </sheetData>
  <mergeCells count="5">
    <mergeCell ref="D5:K5"/>
    <mergeCell ref="D6:K6"/>
    <mergeCell ref="N51:O51"/>
    <mergeCell ref="B2:O2"/>
    <mergeCell ref="N68:O68"/>
  </mergeCells>
  <pageMargins left="0.7" right="0.7" top="0.75" bottom="0.75" header="0.3" footer="0.3"/>
  <pageSetup paperSize="3" scale="90" orientation="landscape" r:id="rId1"/>
  <rowBreaks count="1" manualBreakCount="1">
    <brk id="3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9E9559-A7DC-42FE-A05E-0ECFD7337F78}">
  <sheetPr>
    <pageSetUpPr fitToPage="1"/>
  </sheetPr>
  <dimension ref="B2:T60"/>
  <sheetViews>
    <sheetView workbookViewId="0">
      <selection activeCell="S32" sqref="S32"/>
    </sheetView>
  </sheetViews>
  <sheetFormatPr defaultRowHeight="15" x14ac:dyDescent="0.25"/>
  <cols>
    <col min="1" max="1" width="12.7109375" customWidth="1"/>
    <col min="2" max="2" width="3.7109375" customWidth="1"/>
    <col min="3" max="3" width="41.7109375" customWidth="1"/>
    <col min="4" max="6" width="12.7109375" customWidth="1"/>
    <col min="7" max="7" width="4.7109375" customWidth="1"/>
    <col min="8" max="8" width="14.7109375" customWidth="1"/>
    <col min="9" max="11" width="12.7109375" customWidth="1"/>
    <col min="14" max="15" width="2.7109375" customWidth="1"/>
    <col min="17" max="18" width="12.7109375" customWidth="1"/>
    <col min="19" max="19" width="14.7109375" customWidth="1"/>
  </cols>
  <sheetData>
    <row r="2" spans="2:20" ht="19.5" x14ac:dyDescent="0.4">
      <c r="H2" s="57" t="s">
        <v>51</v>
      </c>
    </row>
    <row r="3" spans="2:20" ht="15.75" thickBot="1" x14ac:dyDescent="0.3"/>
    <row r="4" spans="2:20" x14ac:dyDescent="0.25">
      <c r="B4" s="2"/>
      <c r="C4" s="58"/>
      <c r="D4" s="58"/>
      <c r="E4" s="3"/>
      <c r="F4" s="3"/>
      <c r="G4" s="3"/>
      <c r="H4" s="3"/>
      <c r="I4" s="3"/>
      <c r="J4" s="3"/>
      <c r="K4" s="3"/>
      <c r="L4" s="3"/>
      <c r="M4" s="4"/>
      <c r="P4" s="2"/>
      <c r="Q4" s="3"/>
      <c r="R4" s="3"/>
      <c r="S4" s="3"/>
      <c r="T4" s="4"/>
    </row>
    <row r="5" spans="2:20" ht="18.75" x14ac:dyDescent="0.4">
      <c r="B5" s="5"/>
      <c r="C5" t="s">
        <v>103</v>
      </c>
      <c r="E5" s="130" t="s">
        <v>12</v>
      </c>
      <c r="F5" s="130"/>
      <c r="G5" s="130"/>
      <c r="H5" s="130"/>
      <c r="I5" s="130"/>
      <c r="J5" s="1"/>
      <c r="M5" s="6"/>
      <c r="P5" s="5"/>
      <c r="R5" s="9" t="s">
        <v>26</v>
      </c>
      <c r="T5" s="6"/>
    </row>
    <row r="6" spans="2:20" ht="18.75" x14ac:dyDescent="0.4">
      <c r="B6" s="5"/>
      <c r="E6" s="130" t="s">
        <v>73</v>
      </c>
      <c r="F6" s="130"/>
      <c r="G6" s="130"/>
      <c r="H6" s="130"/>
      <c r="I6" s="130"/>
      <c r="J6" s="1"/>
      <c r="M6" s="6"/>
      <c r="P6" s="5"/>
      <c r="T6" s="6"/>
    </row>
    <row r="7" spans="2:20" x14ac:dyDescent="0.25">
      <c r="B7" s="5"/>
      <c r="D7" s="7" t="s">
        <v>14</v>
      </c>
      <c r="E7" s="7"/>
      <c r="F7" s="7"/>
      <c r="G7" s="7"/>
      <c r="H7" s="7"/>
      <c r="I7" s="7" t="s">
        <v>91</v>
      </c>
      <c r="J7" s="7"/>
      <c r="K7" s="8"/>
      <c r="L7" s="7" t="s">
        <v>20</v>
      </c>
      <c r="M7" s="22" t="s">
        <v>5</v>
      </c>
      <c r="P7" s="5"/>
      <c r="Q7" s="7" t="s">
        <v>23</v>
      </c>
      <c r="R7" s="7" t="s">
        <v>25</v>
      </c>
      <c r="S7" s="7" t="s">
        <v>25</v>
      </c>
      <c r="T7" s="6"/>
    </row>
    <row r="8" spans="2:20" x14ac:dyDescent="0.25">
      <c r="B8" s="5"/>
      <c r="C8" s="9" t="s">
        <v>0</v>
      </c>
      <c r="D8" s="9" t="s">
        <v>15</v>
      </c>
      <c r="E8" s="9" t="s">
        <v>1</v>
      </c>
      <c r="F8" s="9" t="s">
        <v>2</v>
      </c>
      <c r="G8" s="9"/>
      <c r="H8" s="9" t="s">
        <v>3</v>
      </c>
      <c r="I8" s="21" t="s">
        <v>54</v>
      </c>
      <c r="J8" s="9" t="s">
        <v>4</v>
      </c>
      <c r="K8" s="9" t="s">
        <v>9</v>
      </c>
      <c r="L8" s="9" t="s">
        <v>21</v>
      </c>
      <c r="M8" s="23" t="s">
        <v>6</v>
      </c>
      <c r="P8" s="5"/>
      <c r="Q8" s="9" t="s">
        <v>24</v>
      </c>
      <c r="R8" s="9" t="s">
        <v>24</v>
      </c>
      <c r="S8" s="9" t="s">
        <v>3</v>
      </c>
      <c r="T8" s="6"/>
    </row>
    <row r="9" spans="2:20" x14ac:dyDescent="0.25">
      <c r="B9" s="5"/>
      <c r="C9" s="8" t="s">
        <v>83</v>
      </c>
      <c r="D9" s="20">
        <v>4800</v>
      </c>
      <c r="E9" s="1">
        <v>1</v>
      </c>
      <c r="F9" s="24">
        <v>1302</v>
      </c>
      <c r="G9" s="26" t="s">
        <v>16</v>
      </c>
      <c r="H9" s="10">
        <f>+F9*12</f>
        <v>15624</v>
      </c>
      <c r="I9" s="10">
        <f t="shared" ref="I9:I19" si="0">+F9*0.075</f>
        <v>97.649999999999991</v>
      </c>
      <c r="J9" s="10">
        <f>+(F9+I9)*12</f>
        <v>16795.800000000003</v>
      </c>
      <c r="K9" s="10">
        <f>+J9/12</f>
        <v>1399.6500000000003</v>
      </c>
      <c r="L9" s="24">
        <f>+J9/D9</f>
        <v>3.4991250000000007</v>
      </c>
      <c r="M9" s="25">
        <f t="shared" ref="M9:M18" si="1">+J9/365</f>
        <v>46.01589041095891</v>
      </c>
      <c r="P9" s="5"/>
      <c r="Q9" s="10">
        <v>1240</v>
      </c>
      <c r="R9" s="24">
        <f>+F9</f>
        <v>1302</v>
      </c>
      <c r="S9" s="24">
        <f>+J9*E9</f>
        <v>16795.800000000003</v>
      </c>
      <c r="T9" s="6"/>
    </row>
    <row r="10" spans="2:20" x14ac:dyDescent="0.25">
      <c r="B10" s="5"/>
      <c r="C10" s="8" t="s">
        <v>84</v>
      </c>
      <c r="D10" s="20">
        <v>1360</v>
      </c>
      <c r="E10" s="1">
        <v>1</v>
      </c>
      <c r="F10" s="24">
        <v>435.75</v>
      </c>
      <c r="G10" s="10"/>
      <c r="H10" s="10">
        <f t="shared" ref="H10:H11" si="2">+F10*12</f>
        <v>5229</v>
      </c>
      <c r="I10" s="10">
        <f t="shared" si="0"/>
        <v>32.681249999999999</v>
      </c>
      <c r="J10" s="10">
        <f t="shared" ref="J10:J12" si="3">+(F10+I10)*12</f>
        <v>5621.1749999999993</v>
      </c>
      <c r="K10" s="10">
        <f>+J10/12</f>
        <v>468.43124999999992</v>
      </c>
      <c r="L10" s="24">
        <f t="shared" ref="L10:L12" si="4">+J10/D10</f>
        <v>4.1332169117647055</v>
      </c>
      <c r="M10" s="25">
        <f t="shared" si="1"/>
        <v>15.400479452054793</v>
      </c>
      <c r="P10" s="5"/>
      <c r="Q10" s="10">
        <v>415</v>
      </c>
      <c r="R10" s="24">
        <f t="shared" ref="R10:R17" si="5">+F10</f>
        <v>435.75</v>
      </c>
      <c r="S10" s="24">
        <f t="shared" ref="S10:S12" si="6">+J10*E10</f>
        <v>5621.1749999999993</v>
      </c>
      <c r="T10" s="6"/>
    </row>
    <row r="11" spans="2:20" x14ac:dyDescent="0.25">
      <c r="B11" s="5"/>
      <c r="C11" s="8" t="s">
        <v>77</v>
      </c>
      <c r="D11" s="20">
        <v>4640</v>
      </c>
      <c r="E11" s="1">
        <v>1</v>
      </c>
      <c r="F11" s="24">
        <v>866.25</v>
      </c>
      <c r="G11" s="26" t="s">
        <v>17</v>
      </c>
      <c r="H11" s="10">
        <f t="shared" si="2"/>
        <v>10395</v>
      </c>
      <c r="I11" s="10">
        <f t="shared" si="0"/>
        <v>64.96875</v>
      </c>
      <c r="J11" s="10">
        <f t="shared" si="3"/>
        <v>11174.625</v>
      </c>
      <c r="K11" s="10">
        <f t="shared" ref="K11:K18" si="7">+J11/12</f>
        <v>931.21875</v>
      </c>
      <c r="L11" s="24">
        <f t="shared" si="4"/>
        <v>2.4083243534482759</v>
      </c>
      <c r="M11" s="25">
        <f t="shared" si="1"/>
        <v>30.615410958904111</v>
      </c>
      <c r="P11" s="5"/>
      <c r="Q11" s="10">
        <v>825</v>
      </c>
      <c r="R11" s="24">
        <f t="shared" si="5"/>
        <v>866.25</v>
      </c>
      <c r="S11" s="24">
        <f t="shared" si="6"/>
        <v>11174.625</v>
      </c>
      <c r="T11" s="6"/>
    </row>
    <row r="12" spans="2:20" x14ac:dyDescent="0.25">
      <c r="B12" s="5"/>
      <c r="C12" s="8" t="s">
        <v>90</v>
      </c>
      <c r="D12" s="20">
        <v>6044</v>
      </c>
      <c r="E12" s="1">
        <v>1</v>
      </c>
      <c r="F12" s="24">
        <v>1200</v>
      </c>
      <c r="G12" s="26" t="s">
        <v>57</v>
      </c>
      <c r="H12" s="10">
        <v>14400</v>
      </c>
      <c r="I12" s="10">
        <f t="shared" si="0"/>
        <v>90</v>
      </c>
      <c r="J12" s="10">
        <f t="shared" si="3"/>
        <v>15480</v>
      </c>
      <c r="K12" s="10">
        <f t="shared" si="7"/>
        <v>1290</v>
      </c>
      <c r="L12" s="24">
        <f t="shared" si="4"/>
        <v>2.5612177365982793</v>
      </c>
      <c r="M12" s="25">
        <f t="shared" si="1"/>
        <v>42.410958904109592</v>
      </c>
      <c r="P12" s="5"/>
      <c r="Q12" s="10">
        <v>1200</v>
      </c>
      <c r="R12" s="24">
        <v>1260</v>
      </c>
      <c r="S12" s="24">
        <f t="shared" si="6"/>
        <v>15480</v>
      </c>
      <c r="T12" s="6"/>
    </row>
    <row r="13" spans="2:20" x14ac:dyDescent="0.25">
      <c r="B13" s="5"/>
      <c r="C13" s="8" t="s">
        <v>31</v>
      </c>
      <c r="D13" s="20">
        <v>1403</v>
      </c>
      <c r="E13" s="1">
        <v>3</v>
      </c>
      <c r="F13" s="24">
        <v>283.5</v>
      </c>
      <c r="G13" s="10"/>
      <c r="H13" s="10">
        <f>+F13*12*E13</f>
        <v>10206</v>
      </c>
      <c r="I13" s="10">
        <f t="shared" si="0"/>
        <v>21.262499999999999</v>
      </c>
      <c r="J13" s="10">
        <f>+H13*1.065</f>
        <v>10869.39</v>
      </c>
      <c r="K13" s="10">
        <f t="shared" si="7"/>
        <v>905.78249999999991</v>
      </c>
      <c r="L13" s="24">
        <f>+F13/D13*12</f>
        <v>2.4248039914468995</v>
      </c>
      <c r="M13" s="25">
        <f t="shared" si="1"/>
        <v>29.779150684931505</v>
      </c>
      <c r="P13" s="5"/>
      <c r="Q13" s="10">
        <v>270</v>
      </c>
      <c r="R13" s="24">
        <f t="shared" si="5"/>
        <v>283.5</v>
      </c>
      <c r="S13" s="24">
        <f>+J13</f>
        <v>10869.39</v>
      </c>
      <c r="T13" s="6"/>
    </row>
    <row r="14" spans="2:20" x14ac:dyDescent="0.25">
      <c r="B14" s="5"/>
      <c r="C14" s="8" t="s">
        <v>32</v>
      </c>
      <c r="D14" s="20">
        <v>1281</v>
      </c>
      <c r="E14" s="1">
        <v>15</v>
      </c>
      <c r="F14" s="24">
        <v>273</v>
      </c>
      <c r="G14" s="10"/>
      <c r="H14" s="10">
        <f t="shared" ref="H14:H18" si="8">+F14*12*E14</f>
        <v>49140</v>
      </c>
      <c r="I14" s="10">
        <f t="shared" si="0"/>
        <v>20.474999999999998</v>
      </c>
      <c r="J14" s="10">
        <f>+H14*1.065</f>
        <v>52334.1</v>
      </c>
      <c r="K14" s="10">
        <f>+J14/12</f>
        <v>4361.1750000000002</v>
      </c>
      <c r="L14" s="24">
        <f t="shared" ref="L14:L18" si="9">+F14/D14*12</f>
        <v>2.5573770491803276</v>
      </c>
      <c r="M14" s="25">
        <f t="shared" si="1"/>
        <v>143.38109589041096</v>
      </c>
      <c r="P14" s="5"/>
      <c r="Q14" s="10">
        <v>260</v>
      </c>
      <c r="R14" s="24">
        <f t="shared" si="5"/>
        <v>273</v>
      </c>
      <c r="S14" s="24">
        <f t="shared" ref="S14:S18" si="10">+J14</f>
        <v>52334.1</v>
      </c>
      <c r="T14" s="6"/>
    </row>
    <row r="15" spans="2:20" x14ac:dyDescent="0.25">
      <c r="B15" s="5"/>
      <c r="C15" s="8" t="s">
        <v>43</v>
      </c>
      <c r="D15" s="20">
        <v>1900</v>
      </c>
      <c r="E15" s="1">
        <v>4</v>
      </c>
      <c r="F15" s="24">
        <v>383.25</v>
      </c>
      <c r="G15" s="59"/>
      <c r="H15" s="10">
        <f t="shared" si="8"/>
        <v>18396</v>
      </c>
      <c r="I15" s="10">
        <f t="shared" si="0"/>
        <v>28.743749999999999</v>
      </c>
      <c r="J15" s="10">
        <f t="shared" ref="J15:J18" si="11">+H15*1.065</f>
        <v>19591.739999999998</v>
      </c>
      <c r="K15" s="10">
        <f t="shared" si="7"/>
        <v>1632.6449999999998</v>
      </c>
      <c r="L15" s="24">
        <f t="shared" si="9"/>
        <v>2.4205263157894739</v>
      </c>
      <c r="M15" s="25">
        <f t="shared" si="1"/>
        <v>53.675999999999995</v>
      </c>
      <c r="P15" s="5"/>
      <c r="Q15" s="10">
        <v>365</v>
      </c>
      <c r="R15" s="24">
        <f t="shared" si="5"/>
        <v>383.25</v>
      </c>
      <c r="S15" s="24">
        <f t="shared" si="10"/>
        <v>19591.739999999998</v>
      </c>
      <c r="T15" s="6"/>
    </row>
    <row r="16" spans="2:20" x14ac:dyDescent="0.25">
      <c r="B16" s="5"/>
      <c r="C16" s="8" t="s">
        <v>42</v>
      </c>
      <c r="D16" s="20">
        <v>1407</v>
      </c>
      <c r="E16" s="1">
        <v>4</v>
      </c>
      <c r="F16" s="24">
        <v>299.25</v>
      </c>
      <c r="G16" s="10"/>
      <c r="H16" s="10">
        <f t="shared" si="8"/>
        <v>14364</v>
      </c>
      <c r="I16" s="10">
        <f t="shared" si="0"/>
        <v>22.443749999999998</v>
      </c>
      <c r="J16" s="10">
        <f t="shared" ref="J16" si="12">+H16*1.065</f>
        <v>15297.66</v>
      </c>
      <c r="K16" s="10">
        <f t="shared" ref="K16" si="13">+J16/12</f>
        <v>1274.8050000000001</v>
      </c>
      <c r="L16" s="24">
        <f t="shared" ref="L16" si="14">+F16/D16*12</f>
        <v>2.5522388059701493</v>
      </c>
      <c r="M16" s="25">
        <f t="shared" ref="M16" si="15">+J16/365</f>
        <v>41.911397260273972</v>
      </c>
      <c r="P16" s="5"/>
      <c r="Q16" s="10">
        <v>285</v>
      </c>
      <c r="R16" s="24">
        <f t="shared" si="5"/>
        <v>299.25</v>
      </c>
      <c r="S16" s="24">
        <f t="shared" si="10"/>
        <v>15297.66</v>
      </c>
      <c r="T16" s="6"/>
    </row>
    <row r="17" spans="2:20" x14ac:dyDescent="0.25">
      <c r="B17" s="5"/>
      <c r="C17" s="8" t="s">
        <v>7</v>
      </c>
      <c r="D17" s="20">
        <v>985</v>
      </c>
      <c r="E17" s="1">
        <v>7</v>
      </c>
      <c r="F17" s="24">
        <v>220.5</v>
      </c>
      <c r="G17" s="10"/>
      <c r="H17" s="10">
        <f t="shared" si="8"/>
        <v>18522</v>
      </c>
      <c r="I17" s="10">
        <f t="shared" si="0"/>
        <v>16.537499999999998</v>
      </c>
      <c r="J17" s="10">
        <f t="shared" si="11"/>
        <v>19725.93</v>
      </c>
      <c r="K17" s="10">
        <f t="shared" si="7"/>
        <v>1643.8275000000001</v>
      </c>
      <c r="L17" s="24">
        <f t="shared" si="9"/>
        <v>2.6862944162436548</v>
      </c>
      <c r="M17" s="25">
        <f t="shared" si="1"/>
        <v>54.043643835616436</v>
      </c>
      <c r="P17" s="5"/>
      <c r="Q17" s="10">
        <v>210</v>
      </c>
      <c r="R17" s="24">
        <f t="shared" si="5"/>
        <v>220.5</v>
      </c>
      <c r="S17" s="24">
        <f t="shared" si="10"/>
        <v>19725.93</v>
      </c>
      <c r="T17" s="6"/>
    </row>
    <row r="18" spans="2:20" x14ac:dyDescent="0.25">
      <c r="B18" s="5"/>
      <c r="C18" s="8" t="s">
        <v>8</v>
      </c>
      <c r="D18" s="20">
        <v>1209</v>
      </c>
      <c r="E18" s="1">
        <v>8</v>
      </c>
      <c r="F18" s="24">
        <v>63</v>
      </c>
      <c r="G18" s="10"/>
      <c r="H18" s="10">
        <f t="shared" si="8"/>
        <v>6048</v>
      </c>
      <c r="I18" s="10">
        <f t="shared" si="0"/>
        <v>4.7249999999999996</v>
      </c>
      <c r="J18" s="10">
        <f t="shared" si="11"/>
        <v>6441.12</v>
      </c>
      <c r="K18" s="10">
        <f t="shared" si="7"/>
        <v>536.76</v>
      </c>
      <c r="L18" s="24">
        <f t="shared" si="9"/>
        <v>0.62531017369727049</v>
      </c>
      <c r="M18" s="25">
        <f t="shared" si="1"/>
        <v>17.646904109589041</v>
      </c>
      <c r="P18" s="5"/>
      <c r="Q18" s="10">
        <v>60</v>
      </c>
      <c r="R18" s="24">
        <v>60</v>
      </c>
      <c r="S18" s="24">
        <f t="shared" si="10"/>
        <v>6441.12</v>
      </c>
      <c r="T18" s="6"/>
    </row>
    <row r="19" spans="2:20" x14ac:dyDescent="0.25">
      <c r="B19" s="5"/>
      <c r="C19" s="8" t="s">
        <v>33</v>
      </c>
      <c r="D19" s="20">
        <v>1209</v>
      </c>
      <c r="E19" s="29">
        <v>10</v>
      </c>
      <c r="F19" s="24">
        <v>21</v>
      </c>
      <c r="G19" s="26" t="s">
        <v>94</v>
      </c>
      <c r="H19" s="10" t="s">
        <v>10</v>
      </c>
      <c r="I19" s="10">
        <f t="shared" si="0"/>
        <v>1.575</v>
      </c>
      <c r="J19" s="10"/>
      <c r="K19" s="10"/>
      <c r="L19" s="24"/>
      <c r="M19" s="25">
        <f>+(F19+I19)*12/365</f>
        <v>0.74219178082191772</v>
      </c>
      <c r="P19" s="5"/>
      <c r="Q19" s="10">
        <v>20</v>
      </c>
      <c r="R19" s="24">
        <v>20</v>
      </c>
      <c r="T19" s="6"/>
    </row>
    <row r="20" spans="2:20" x14ac:dyDescent="0.25">
      <c r="B20" s="5"/>
      <c r="C20" s="56" t="s">
        <v>49</v>
      </c>
      <c r="E20" s="1">
        <f>SUM(E9:E19)</f>
        <v>55</v>
      </c>
      <c r="F20" s="1"/>
      <c r="G20" s="1"/>
      <c r="H20" s="1"/>
      <c r="I20" s="1"/>
      <c r="J20" s="1"/>
      <c r="K20" s="1"/>
      <c r="L20" s="1"/>
      <c r="M20" s="11"/>
      <c r="P20" s="5"/>
      <c r="S20" s="24">
        <f>SUM(S9:S18)</f>
        <v>173331.53999999998</v>
      </c>
      <c r="T20" s="6" t="s">
        <v>28</v>
      </c>
    </row>
    <row r="21" spans="2:20" x14ac:dyDescent="0.25">
      <c r="B21" s="5"/>
      <c r="D21" s="12"/>
      <c r="E21" s="1"/>
      <c r="F21" s="1"/>
      <c r="G21" s="26" t="s">
        <v>16</v>
      </c>
      <c r="H21" t="s">
        <v>34</v>
      </c>
      <c r="K21" s="1"/>
      <c r="L21" s="1"/>
      <c r="M21" s="11"/>
      <c r="P21" s="5"/>
      <c r="S21" s="24">
        <f>+S20*0.935</f>
        <v>162064.98989999999</v>
      </c>
      <c r="T21" s="6" t="s">
        <v>22</v>
      </c>
    </row>
    <row r="22" spans="2:20" x14ac:dyDescent="0.25">
      <c r="B22" s="5"/>
      <c r="C22" s="12"/>
      <c r="D22" s="12"/>
      <c r="E22" s="1"/>
      <c r="F22" s="1"/>
      <c r="G22" s="26" t="s">
        <v>17</v>
      </c>
      <c r="H22" t="s">
        <v>18</v>
      </c>
      <c r="M22" s="11"/>
      <c r="P22" s="5"/>
      <c r="Q22" s="24"/>
      <c r="R22" s="1" t="s">
        <v>27</v>
      </c>
      <c r="S22" s="24">
        <f>+S21*0.95</f>
        <v>153961.74040499999</v>
      </c>
      <c r="T22" s="6" t="s">
        <v>36</v>
      </c>
    </row>
    <row r="23" spans="2:20" ht="15.75" thickBot="1" x14ac:dyDescent="0.3">
      <c r="B23" s="5"/>
      <c r="C23" s="12"/>
      <c r="D23" s="12"/>
      <c r="E23" s="1"/>
      <c r="F23" s="1"/>
      <c r="G23" s="26" t="s">
        <v>57</v>
      </c>
      <c r="H23" t="s">
        <v>96</v>
      </c>
      <c r="M23" s="11"/>
      <c r="P23" s="16"/>
      <c r="Q23" s="27"/>
      <c r="R23" s="17"/>
      <c r="S23" s="17"/>
      <c r="T23" s="28"/>
    </row>
    <row r="24" spans="2:20" x14ac:dyDescent="0.25">
      <c r="B24" s="5"/>
      <c r="C24" s="8"/>
      <c r="D24" s="8"/>
      <c r="E24" s="7"/>
      <c r="F24" s="7"/>
      <c r="G24" s="26" t="s">
        <v>94</v>
      </c>
      <c r="H24" t="s">
        <v>52</v>
      </c>
      <c r="M24" s="11"/>
    </row>
    <row r="25" spans="2:20" x14ac:dyDescent="0.25">
      <c r="B25" s="5"/>
      <c r="C25" s="8"/>
      <c r="D25" s="8"/>
      <c r="E25" s="7"/>
      <c r="F25" s="7"/>
      <c r="G25" s="7"/>
      <c r="H25" s="30" t="s">
        <v>53</v>
      </c>
      <c r="I25" s="7"/>
      <c r="J25" s="7"/>
      <c r="K25" s="7"/>
      <c r="L25" s="7"/>
      <c r="M25" s="11"/>
    </row>
    <row r="26" spans="2:20" x14ac:dyDescent="0.25">
      <c r="B26" s="5"/>
      <c r="C26" s="8" t="s">
        <v>11</v>
      </c>
      <c r="D26" s="8"/>
      <c r="E26" s="7"/>
      <c r="F26" s="7"/>
      <c r="G26" s="7"/>
      <c r="H26" s="7"/>
      <c r="I26" s="7"/>
      <c r="J26" s="7"/>
      <c r="K26" s="7"/>
      <c r="L26" s="7"/>
      <c r="M26" s="11"/>
    </row>
    <row r="27" spans="2:20" x14ac:dyDescent="0.25">
      <c r="B27" s="5"/>
      <c r="C27" s="8" t="s">
        <v>35</v>
      </c>
      <c r="D27" s="8"/>
      <c r="M27" s="6"/>
    </row>
    <row r="28" spans="2:20" x14ac:dyDescent="0.25">
      <c r="B28" s="5"/>
      <c r="E28" s="1"/>
      <c r="F28" s="1"/>
      <c r="G28" s="1"/>
      <c r="H28" s="1"/>
      <c r="I28" s="1"/>
      <c r="J28" s="1"/>
      <c r="K28" s="1"/>
      <c r="L28" s="1"/>
      <c r="M28" s="11"/>
    </row>
    <row r="29" spans="2:20" x14ac:dyDescent="0.25">
      <c r="B29" s="5"/>
      <c r="C29" s="13" t="s">
        <v>19</v>
      </c>
      <c r="D29" s="13"/>
      <c r="E29" s="14"/>
      <c r="F29" s="14"/>
      <c r="G29" s="14"/>
      <c r="H29" s="14"/>
      <c r="I29" s="14"/>
      <c r="J29" s="14"/>
      <c r="K29" s="14"/>
      <c r="L29" s="14"/>
      <c r="M29" s="15"/>
    </row>
    <row r="30" spans="2:20" x14ac:dyDescent="0.25">
      <c r="B30" s="5"/>
      <c r="C30" s="13" t="s">
        <v>13</v>
      </c>
      <c r="D30" s="13"/>
      <c r="E30" s="14"/>
      <c r="F30" s="14"/>
      <c r="G30" s="14"/>
      <c r="H30" s="14"/>
      <c r="I30" s="14"/>
      <c r="J30" s="14"/>
      <c r="K30" s="14"/>
      <c r="L30" s="14"/>
      <c r="M30" s="15"/>
    </row>
    <row r="31" spans="2:20" x14ac:dyDescent="0.25">
      <c r="B31" s="5"/>
      <c r="C31" s="13"/>
      <c r="D31" s="13"/>
      <c r="E31" s="14"/>
      <c r="F31" s="14"/>
      <c r="G31" s="14"/>
      <c r="H31" s="14"/>
      <c r="I31" s="14"/>
      <c r="J31" s="14"/>
      <c r="K31" s="14"/>
      <c r="L31" s="14"/>
      <c r="M31" s="15"/>
    </row>
    <row r="32" spans="2:20" x14ac:dyDescent="0.25">
      <c r="B32" s="5"/>
      <c r="C32" s="13" t="s">
        <v>93</v>
      </c>
      <c r="D32" s="13"/>
      <c r="E32" s="14"/>
      <c r="F32" s="14"/>
      <c r="G32" s="14"/>
      <c r="H32" s="14"/>
      <c r="I32" s="14"/>
      <c r="J32" s="14"/>
      <c r="K32" s="14"/>
      <c r="L32" s="14"/>
      <c r="M32" s="15"/>
    </row>
    <row r="33" spans="2:13" x14ac:dyDescent="0.25">
      <c r="B33" s="5"/>
      <c r="C33" s="13"/>
      <c r="D33" s="13"/>
      <c r="E33" s="14"/>
      <c r="F33" s="14"/>
      <c r="G33" s="14"/>
      <c r="H33" s="14"/>
      <c r="I33" s="14"/>
      <c r="J33" s="14"/>
      <c r="K33" s="14"/>
      <c r="L33" s="14"/>
      <c r="M33" s="15"/>
    </row>
    <row r="34" spans="2:13" ht="15.75" thickBot="1" x14ac:dyDescent="0.3">
      <c r="B34" s="16"/>
      <c r="C34" s="17"/>
      <c r="D34" s="17"/>
      <c r="E34" s="18"/>
      <c r="F34" s="18"/>
      <c r="G34" s="18"/>
      <c r="H34" s="18"/>
      <c r="I34" s="18"/>
      <c r="J34" s="18"/>
      <c r="K34" s="18"/>
      <c r="L34" s="18"/>
      <c r="M34" s="19"/>
    </row>
    <row r="35" spans="2:13" x14ac:dyDescent="0.25">
      <c r="E35" s="1"/>
      <c r="F35" s="1"/>
      <c r="G35" s="1"/>
      <c r="H35" s="1"/>
      <c r="I35" s="1"/>
      <c r="J35" s="1"/>
      <c r="K35" s="1"/>
      <c r="L35" s="1"/>
      <c r="M35" s="1"/>
    </row>
    <row r="36" spans="2:13" x14ac:dyDescent="0.25">
      <c r="C36" t="s">
        <v>92</v>
      </c>
      <c r="E36" s="1"/>
      <c r="F36" s="1"/>
      <c r="G36" s="1"/>
      <c r="H36" s="1"/>
      <c r="I36" s="1"/>
      <c r="J36" s="1"/>
      <c r="K36" s="1"/>
      <c r="L36" s="1"/>
      <c r="M36" s="1"/>
    </row>
    <row r="37" spans="2:13" x14ac:dyDescent="0.25">
      <c r="E37" s="1"/>
      <c r="F37" s="1"/>
      <c r="G37" s="1"/>
      <c r="H37" s="1"/>
      <c r="I37" s="1"/>
      <c r="J37" s="1"/>
      <c r="K37" s="1"/>
      <c r="L37" s="1"/>
      <c r="M37" s="1"/>
    </row>
    <row r="38" spans="2:13" x14ac:dyDescent="0.25">
      <c r="E38" s="1"/>
      <c r="F38" s="1"/>
      <c r="G38" s="1"/>
      <c r="H38" s="1"/>
      <c r="I38" s="1"/>
      <c r="J38" s="1"/>
      <c r="K38" s="1"/>
      <c r="L38" s="1"/>
      <c r="M38" s="1"/>
    </row>
    <row r="39" spans="2:13" x14ac:dyDescent="0.25">
      <c r="D39" s="7"/>
      <c r="E39" s="7"/>
      <c r="F39" s="1"/>
      <c r="G39" s="1"/>
      <c r="H39" s="1"/>
      <c r="I39" s="1"/>
      <c r="J39" s="1"/>
      <c r="K39" s="1"/>
      <c r="L39" s="1"/>
      <c r="M39" s="1"/>
    </row>
    <row r="40" spans="2:13" x14ac:dyDescent="0.25">
      <c r="C40" s="9"/>
      <c r="D40" s="9"/>
      <c r="E40" s="9"/>
      <c r="F40" s="9"/>
      <c r="G40" s="9"/>
      <c r="H40" s="9"/>
      <c r="I40" s="9"/>
      <c r="J40" s="9"/>
      <c r="K40" s="1"/>
      <c r="L40" s="1"/>
      <c r="M40" s="1"/>
    </row>
    <row r="41" spans="2:13" x14ac:dyDescent="0.25">
      <c r="C41" s="8"/>
      <c r="D41" s="20"/>
      <c r="E41" s="1"/>
      <c r="F41" s="31"/>
      <c r="G41" s="1"/>
      <c r="H41" s="1"/>
      <c r="I41" s="1"/>
      <c r="J41" s="32"/>
      <c r="K41" s="1"/>
      <c r="L41" s="1"/>
      <c r="M41" s="1"/>
    </row>
    <row r="42" spans="2:13" x14ac:dyDescent="0.25">
      <c r="C42" s="8"/>
      <c r="D42" s="20"/>
      <c r="E42" s="1"/>
      <c r="F42" s="31"/>
      <c r="G42" s="1"/>
      <c r="H42" s="1"/>
      <c r="I42" s="1"/>
      <c r="J42" s="32"/>
      <c r="K42" s="1"/>
      <c r="L42" s="1"/>
      <c r="M42" s="1"/>
    </row>
    <row r="43" spans="2:13" x14ac:dyDescent="0.25">
      <c r="C43" s="8"/>
      <c r="D43" s="20"/>
      <c r="E43" s="1"/>
      <c r="F43" s="31"/>
      <c r="G43" s="1"/>
      <c r="H43" s="1"/>
      <c r="I43" s="1"/>
      <c r="J43" s="55"/>
      <c r="K43" s="32"/>
      <c r="L43" s="1"/>
      <c r="M43" s="1"/>
    </row>
    <row r="44" spans="2:13" x14ac:dyDescent="0.25">
      <c r="C44" s="8"/>
      <c r="D44" s="20"/>
      <c r="E44" s="1"/>
      <c r="F44" s="31"/>
      <c r="G44" s="1"/>
      <c r="H44" s="1"/>
      <c r="I44" s="24"/>
      <c r="J44" s="32"/>
      <c r="K44" s="1"/>
      <c r="L44" s="1"/>
      <c r="M44" s="1"/>
    </row>
    <row r="45" spans="2:13" x14ac:dyDescent="0.25">
      <c r="C45" s="8"/>
      <c r="D45" s="20"/>
      <c r="E45" s="1"/>
      <c r="F45" s="31"/>
      <c r="G45" s="1"/>
      <c r="H45" s="1"/>
      <c r="I45" s="24"/>
      <c r="J45" s="32"/>
      <c r="K45" s="1"/>
      <c r="L45" s="1"/>
      <c r="M45" s="1"/>
    </row>
    <row r="46" spans="2:13" x14ac:dyDescent="0.25">
      <c r="C46" s="8"/>
      <c r="D46" s="20"/>
      <c r="E46" s="1"/>
      <c r="F46" s="31"/>
      <c r="G46" s="1"/>
      <c r="H46" s="1"/>
      <c r="I46" s="24"/>
      <c r="J46" s="32"/>
      <c r="K46" s="1"/>
      <c r="L46" s="1"/>
      <c r="M46" s="1"/>
    </row>
    <row r="47" spans="2:13" x14ac:dyDescent="0.25">
      <c r="C47" s="8"/>
      <c r="D47" s="20"/>
      <c r="E47" s="1"/>
      <c r="F47" s="31"/>
      <c r="G47" s="1"/>
      <c r="H47" s="1"/>
      <c r="I47" s="24"/>
      <c r="J47" s="55"/>
      <c r="K47" s="32"/>
      <c r="L47" s="1"/>
      <c r="M47" s="1"/>
    </row>
    <row r="48" spans="2:13" x14ac:dyDescent="0.25">
      <c r="C48" s="8"/>
      <c r="D48" s="20"/>
      <c r="E48" s="1"/>
      <c r="F48" s="31"/>
      <c r="G48" s="1"/>
      <c r="H48" s="1"/>
      <c r="I48" s="1"/>
      <c r="J48" s="32"/>
      <c r="K48" s="1"/>
      <c r="L48" s="1"/>
      <c r="M48" s="1"/>
    </row>
    <row r="49" spans="3:16" x14ac:dyDescent="0.25">
      <c r="C49" s="8"/>
      <c r="D49" s="20"/>
      <c r="E49" s="1"/>
      <c r="F49" s="31"/>
      <c r="G49" s="1"/>
      <c r="H49" s="1"/>
      <c r="I49" s="1"/>
      <c r="J49" s="32"/>
      <c r="K49" s="1"/>
      <c r="L49" s="1"/>
      <c r="M49" s="1"/>
    </row>
    <row r="50" spans="3:16" x14ac:dyDescent="0.25">
      <c r="C50" s="8"/>
      <c r="D50" s="20"/>
      <c r="E50" s="29"/>
      <c r="F50" s="1"/>
      <c r="G50" s="1"/>
      <c r="H50" s="1"/>
      <c r="I50" s="1"/>
      <c r="J50" s="1"/>
      <c r="K50" s="1"/>
      <c r="L50" s="1"/>
      <c r="M50" s="1"/>
    </row>
    <row r="51" spans="3:16" x14ac:dyDescent="0.25">
      <c r="E51" s="1"/>
      <c r="F51" s="1"/>
      <c r="G51" s="1"/>
      <c r="H51" s="1"/>
      <c r="I51" s="9"/>
      <c r="J51" s="1"/>
      <c r="K51" s="1"/>
      <c r="L51" s="1"/>
      <c r="M51" s="1"/>
    </row>
    <row r="52" spans="3:16" x14ac:dyDescent="0.25">
      <c r="D52" s="12"/>
      <c r="E52" s="1"/>
      <c r="F52" s="31"/>
      <c r="G52" s="1"/>
      <c r="H52" s="10"/>
      <c r="I52" s="60"/>
      <c r="J52" s="32"/>
      <c r="K52" s="1"/>
      <c r="L52" s="1"/>
      <c r="M52" s="1"/>
    </row>
    <row r="53" spans="3:16" x14ac:dyDescent="0.25">
      <c r="E53" s="1"/>
      <c r="F53" s="1"/>
      <c r="G53" s="1"/>
      <c r="H53" s="1"/>
      <c r="I53" s="1"/>
      <c r="J53" s="1"/>
      <c r="K53" s="1"/>
      <c r="L53" s="1"/>
      <c r="M53" s="1"/>
    </row>
    <row r="54" spans="3:16" x14ac:dyDescent="0.25">
      <c r="C54" s="8"/>
      <c r="E54" s="1"/>
      <c r="F54" s="9"/>
      <c r="G54" s="1"/>
      <c r="H54" s="1"/>
      <c r="I54" s="1"/>
      <c r="J54" s="1"/>
      <c r="K54" s="1"/>
      <c r="L54" s="9"/>
      <c r="M54" s="1"/>
      <c r="P54" s="12"/>
    </row>
    <row r="55" spans="3:16" x14ac:dyDescent="0.25">
      <c r="C55" s="8"/>
      <c r="D55" s="20"/>
      <c r="E55" s="1"/>
      <c r="F55" s="24"/>
      <c r="G55" s="10"/>
      <c r="H55" s="10"/>
      <c r="I55" s="10"/>
      <c r="J55" s="10"/>
      <c r="K55" s="10"/>
      <c r="L55" s="24"/>
      <c r="M55" s="10"/>
      <c r="P55" s="24"/>
    </row>
    <row r="56" spans="3:16" x14ac:dyDescent="0.25">
      <c r="C56" s="8"/>
      <c r="D56" s="20"/>
      <c r="E56" s="1"/>
      <c r="F56" s="24"/>
      <c r="G56" s="10"/>
      <c r="H56" s="10"/>
      <c r="I56" s="10"/>
      <c r="J56" s="10"/>
      <c r="K56" s="10"/>
      <c r="L56" s="24"/>
      <c r="M56" s="10"/>
      <c r="P56" s="24"/>
    </row>
    <row r="57" spans="3:16" x14ac:dyDescent="0.25">
      <c r="C57" s="8"/>
      <c r="D57" s="20"/>
      <c r="E57" s="1"/>
      <c r="F57" s="24"/>
      <c r="G57" s="10"/>
      <c r="H57" s="10"/>
      <c r="I57" s="10"/>
      <c r="J57" s="10"/>
      <c r="K57" s="10"/>
      <c r="L57" s="24"/>
      <c r="M57" s="10"/>
      <c r="P57" s="24"/>
    </row>
    <row r="58" spans="3:16" x14ac:dyDescent="0.25">
      <c r="C58" s="8"/>
      <c r="D58" s="20"/>
      <c r="E58" s="1"/>
      <c r="F58" s="24"/>
      <c r="G58" s="10"/>
      <c r="H58" s="10"/>
      <c r="I58" s="10"/>
      <c r="J58" s="10"/>
      <c r="K58" s="10"/>
      <c r="L58" s="24"/>
      <c r="M58" s="10"/>
      <c r="P58" s="24"/>
    </row>
    <row r="59" spans="3:16" x14ac:dyDescent="0.25">
      <c r="L59" s="24"/>
    </row>
    <row r="60" spans="3:16" x14ac:dyDescent="0.25">
      <c r="E60" s="56"/>
      <c r="F60" s="24"/>
      <c r="G60" s="10"/>
      <c r="H60" s="10"/>
      <c r="I60" s="10"/>
      <c r="J60" s="10"/>
      <c r="K60" s="10"/>
      <c r="L60" s="24"/>
      <c r="M60" s="10"/>
      <c r="P60" s="24"/>
    </row>
  </sheetData>
  <mergeCells count="2">
    <mergeCell ref="E5:I5"/>
    <mergeCell ref="E6:I6"/>
  </mergeCells>
  <pageMargins left="0.7" right="0.7" top="0.75" bottom="0.75" header="0.3" footer="0.3"/>
  <pageSetup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85BEE-B109-4471-B855-E0B9D6CD7564}">
  <sheetPr>
    <pageSetUpPr fitToPage="1"/>
  </sheetPr>
  <dimension ref="C1:P25"/>
  <sheetViews>
    <sheetView topLeftCell="A4" workbookViewId="0">
      <selection activeCell="D6" sqref="D6"/>
    </sheetView>
  </sheetViews>
  <sheetFormatPr defaultRowHeight="15" x14ac:dyDescent="0.25"/>
  <cols>
    <col min="1" max="1" width="12.7109375" customWidth="1"/>
    <col min="2" max="2" width="3.7109375" customWidth="1"/>
    <col min="3" max="3" width="41.7109375" customWidth="1"/>
    <col min="4" max="6" width="12.7109375" customWidth="1"/>
    <col min="7" max="7" width="4.7109375" customWidth="1"/>
    <col min="8" max="8" width="14.7109375" customWidth="1"/>
    <col min="9" max="11" width="12.7109375" customWidth="1"/>
    <col min="14" max="15" width="2.7109375" customWidth="1"/>
    <col min="17" max="18" width="12.7109375" customWidth="1"/>
    <col min="19" max="19" width="14.7109375" customWidth="1"/>
  </cols>
  <sheetData>
    <row r="1" spans="3:13" x14ac:dyDescent="0.25">
      <c r="E1" s="1"/>
      <c r="F1" s="1"/>
      <c r="G1" s="1"/>
      <c r="H1" s="1"/>
      <c r="I1" s="1"/>
      <c r="J1" s="1"/>
      <c r="K1" s="1"/>
      <c r="L1" s="1"/>
      <c r="M1" s="1"/>
    </row>
    <row r="2" spans="3:13" x14ac:dyDescent="0.25">
      <c r="E2" s="1"/>
      <c r="F2" s="1"/>
      <c r="G2" s="1"/>
      <c r="H2" s="1"/>
      <c r="I2" s="1"/>
      <c r="J2" s="1"/>
      <c r="K2" s="1"/>
      <c r="L2" s="1"/>
      <c r="M2" s="1"/>
    </row>
    <row r="3" spans="3:13" x14ac:dyDescent="0.25">
      <c r="D3" s="7" t="s">
        <v>14</v>
      </c>
      <c r="E3" s="7"/>
      <c r="F3" s="1"/>
      <c r="G3" s="1"/>
      <c r="H3" s="1"/>
      <c r="I3" s="1"/>
      <c r="J3" s="1"/>
      <c r="K3" s="1"/>
      <c r="L3" s="1"/>
      <c r="M3" s="1"/>
    </row>
    <row r="4" spans="3:13" x14ac:dyDescent="0.25">
      <c r="C4" s="9" t="s">
        <v>0</v>
      </c>
      <c r="D4" s="9" t="s">
        <v>15</v>
      </c>
      <c r="E4" s="9" t="s">
        <v>1</v>
      </c>
      <c r="F4" s="9" t="s">
        <v>38</v>
      </c>
      <c r="G4" s="9"/>
      <c r="H4" s="9" t="s">
        <v>39</v>
      </c>
      <c r="I4" s="9" t="s">
        <v>40</v>
      </c>
      <c r="J4" s="9" t="s">
        <v>41</v>
      </c>
      <c r="K4" s="1"/>
      <c r="L4" s="1"/>
      <c r="M4" s="1"/>
    </row>
    <row r="5" spans="3:13" x14ac:dyDescent="0.25">
      <c r="C5" s="8" t="s">
        <v>88</v>
      </c>
      <c r="D5" s="20">
        <v>4800</v>
      </c>
      <c r="E5" s="1">
        <v>1</v>
      </c>
      <c r="F5" s="31">
        <f>+D5*E5</f>
        <v>4800</v>
      </c>
      <c r="G5" s="1"/>
      <c r="H5" s="1"/>
      <c r="I5" s="1"/>
      <c r="J5" s="32">
        <f>+F5/64019</f>
        <v>7.4977740983145635E-2</v>
      </c>
      <c r="K5" s="1"/>
      <c r="L5" s="1"/>
      <c r="M5" s="1"/>
    </row>
    <row r="6" spans="3:13" x14ac:dyDescent="0.25">
      <c r="C6" s="8" t="s">
        <v>89</v>
      </c>
      <c r="D6" s="20">
        <v>1360</v>
      </c>
      <c r="E6" s="1">
        <v>1</v>
      </c>
      <c r="F6" s="31">
        <f t="shared" ref="F6:F14" si="0">+D6*E6</f>
        <v>1360</v>
      </c>
      <c r="G6" s="1"/>
      <c r="H6" s="1"/>
      <c r="I6" s="1"/>
      <c r="J6" s="32">
        <f t="shared" ref="J6:J14" si="1">+F6/64019</f>
        <v>2.1243693278557928E-2</v>
      </c>
      <c r="K6" s="1"/>
      <c r="L6" s="1"/>
      <c r="M6" s="1"/>
    </row>
    <row r="7" spans="3:13" x14ac:dyDescent="0.25">
      <c r="C7" s="8" t="s">
        <v>37</v>
      </c>
      <c r="D7" s="20">
        <v>4640</v>
      </c>
      <c r="E7" s="1">
        <v>1</v>
      </c>
      <c r="F7" s="31">
        <f t="shared" si="0"/>
        <v>4640</v>
      </c>
      <c r="G7" s="1"/>
      <c r="H7" s="1"/>
      <c r="I7" s="1"/>
      <c r="J7" s="55">
        <f t="shared" si="1"/>
        <v>7.247848295037411E-2</v>
      </c>
      <c r="K7" s="32">
        <f>SUM(J5:J7)</f>
        <v>0.16869991721207767</v>
      </c>
      <c r="L7" s="1"/>
      <c r="M7" s="1"/>
    </row>
    <row r="8" spans="3:13" x14ac:dyDescent="0.25">
      <c r="C8" s="8" t="s">
        <v>86</v>
      </c>
      <c r="D8" s="20"/>
      <c r="E8" s="1">
        <v>1</v>
      </c>
      <c r="F8" s="31"/>
      <c r="G8" s="1"/>
      <c r="H8" s="1"/>
      <c r="I8" s="1"/>
      <c r="J8" s="55"/>
      <c r="K8" s="32"/>
      <c r="L8" s="1"/>
      <c r="M8" s="1"/>
    </row>
    <row r="9" spans="3:13" x14ac:dyDescent="0.25">
      <c r="C9" s="36" t="s">
        <v>31</v>
      </c>
      <c r="D9" s="33">
        <v>1403</v>
      </c>
      <c r="E9" s="34">
        <v>3</v>
      </c>
      <c r="F9" s="35">
        <f t="shared" si="0"/>
        <v>4209</v>
      </c>
      <c r="G9" s="34"/>
      <c r="H9" s="34"/>
      <c r="I9" s="37">
        <v>2.31</v>
      </c>
      <c r="J9" s="32">
        <f t="shared" si="1"/>
        <v>6.5746106624595818E-2</v>
      </c>
      <c r="K9" s="1"/>
      <c r="L9" s="1"/>
      <c r="M9" s="1"/>
    </row>
    <row r="10" spans="3:13" x14ac:dyDescent="0.25">
      <c r="C10" s="36" t="s">
        <v>32</v>
      </c>
      <c r="D10" s="33">
        <v>1281</v>
      </c>
      <c r="E10" s="34">
        <v>15</v>
      </c>
      <c r="F10" s="35">
        <f t="shared" si="0"/>
        <v>19215</v>
      </c>
      <c r="G10" s="34"/>
      <c r="H10" s="34"/>
      <c r="I10" s="37">
        <v>2.44</v>
      </c>
      <c r="J10" s="32">
        <f t="shared" si="1"/>
        <v>0.30014526937315483</v>
      </c>
      <c r="K10" s="1"/>
      <c r="L10" s="1"/>
      <c r="M10" s="1"/>
    </row>
    <row r="11" spans="3:13" x14ac:dyDescent="0.25">
      <c r="C11" s="36" t="s">
        <v>43</v>
      </c>
      <c r="D11" s="33">
        <v>1900</v>
      </c>
      <c r="E11" s="34">
        <v>4</v>
      </c>
      <c r="F11" s="35">
        <f t="shared" si="0"/>
        <v>7600</v>
      </c>
      <c r="G11" s="34"/>
      <c r="H11" s="34"/>
      <c r="I11" s="37">
        <v>2.31</v>
      </c>
      <c r="J11" s="32">
        <f t="shared" si="1"/>
        <v>0.11871475655664725</v>
      </c>
      <c r="K11" s="1"/>
      <c r="L11" s="1"/>
      <c r="M11" s="1"/>
    </row>
    <row r="12" spans="3:13" x14ac:dyDescent="0.25">
      <c r="C12" s="36" t="s">
        <v>42</v>
      </c>
      <c r="D12" s="33">
        <v>1407</v>
      </c>
      <c r="E12" s="34">
        <v>4</v>
      </c>
      <c r="F12" s="35">
        <f t="shared" si="0"/>
        <v>5628</v>
      </c>
      <c r="G12" s="34"/>
      <c r="H12" s="34"/>
      <c r="I12" s="37">
        <v>2.4300000000000002</v>
      </c>
      <c r="J12" s="55">
        <f t="shared" si="1"/>
        <v>8.7911401302738251E-2</v>
      </c>
      <c r="K12" s="32">
        <f>SUM(J9:J12)</f>
        <v>0.57251753385713622</v>
      </c>
      <c r="L12" s="1"/>
      <c r="M12" s="1"/>
    </row>
    <row r="13" spans="3:13" x14ac:dyDescent="0.25">
      <c r="C13" s="8" t="s">
        <v>7</v>
      </c>
      <c r="D13" s="20">
        <v>985</v>
      </c>
      <c r="E13" s="1">
        <v>7</v>
      </c>
      <c r="F13" s="31">
        <f t="shared" si="0"/>
        <v>6895</v>
      </c>
      <c r="G13" s="1"/>
      <c r="H13" s="1"/>
      <c r="I13" s="1"/>
      <c r="J13" s="32">
        <f t="shared" si="1"/>
        <v>0.10770240084974773</v>
      </c>
      <c r="K13" s="1"/>
      <c r="L13" s="1"/>
      <c r="M13" s="1"/>
    </row>
    <row r="14" spans="3:13" x14ac:dyDescent="0.25">
      <c r="C14" s="8" t="s">
        <v>8</v>
      </c>
      <c r="D14" s="20">
        <v>1209</v>
      </c>
      <c r="E14" s="1">
        <v>8</v>
      </c>
      <c r="F14" s="31">
        <f t="shared" si="0"/>
        <v>9672</v>
      </c>
      <c r="G14" s="1"/>
      <c r="H14" s="1"/>
      <c r="I14" s="1"/>
      <c r="J14" s="32">
        <f t="shared" si="1"/>
        <v>0.15108014808103845</v>
      </c>
      <c r="K14" s="1"/>
      <c r="L14" s="1"/>
      <c r="M14" s="1"/>
    </row>
    <row r="15" spans="3:13" x14ac:dyDescent="0.25">
      <c r="C15" s="8" t="s">
        <v>33</v>
      </c>
      <c r="D15" s="20">
        <v>1209</v>
      </c>
      <c r="E15" s="29">
        <v>10</v>
      </c>
      <c r="F15" s="1"/>
      <c r="G15" s="1"/>
      <c r="H15" s="1"/>
      <c r="I15" s="1"/>
      <c r="J15" s="1"/>
      <c r="K15" s="1"/>
      <c r="L15" s="1"/>
      <c r="M15" s="1"/>
    </row>
    <row r="16" spans="3:13" x14ac:dyDescent="0.25">
      <c r="E16" s="1">
        <f>SUM(E5:E15)</f>
        <v>55</v>
      </c>
      <c r="F16" s="1"/>
      <c r="G16" s="1"/>
      <c r="H16" s="1"/>
      <c r="I16" s="44" t="s">
        <v>47</v>
      </c>
      <c r="J16" s="1"/>
      <c r="K16" s="1"/>
      <c r="L16" s="1"/>
      <c r="M16" s="1"/>
    </row>
    <row r="17" spans="3:16" x14ac:dyDescent="0.25">
      <c r="D17" s="12"/>
      <c r="E17" s="1"/>
      <c r="F17" s="31">
        <f>SUM(F5:F14)</f>
        <v>64019</v>
      </c>
      <c r="G17" s="1"/>
      <c r="H17" s="10">
        <v>140563.04</v>
      </c>
      <c r="I17" s="45">
        <v>2.37</v>
      </c>
      <c r="J17" s="32">
        <f>SUM(J5:J14)</f>
        <v>0.99999999999999989</v>
      </c>
      <c r="K17" s="1"/>
      <c r="L17" s="1"/>
      <c r="M17" s="1"/>
    </row>
    <row r="18" spans="3:16" ht="15.75" thickBot="1" x14ac:dyDescent="0.3">
      <c r="E18" s="1"/>
      <c r="F18" s="1"/>
      <c r="G18" s="1"/>
      <c r="H18" s="1"/>
      <c r="I18" s="1"/>
      <c r="J18" s="1"/>
      <c r="K18" s="1"/>
      <c r="L18" s="1"/>
      <c r="M18" s="1"/>
    </row>
    <row r="19" spans="3:16" x14ac:dyDescent="0.25">
      <c r="C19" s="46" t="s">
        <v>48</v>
      </c>
      <c r="D19" s="3"/>
      <c r="E19" s="39"/>
      <c r="F19" s="47" t="s">
        <v>44</v>
      </c>
      <c r="G19" s="39"/>
      <c r="H19" s="39"/>
      <c r="I19" s="39"/>
      <c r="J19" s="39"/>
      <c r="K19" s="39"/>
      <c r="L19" s="47" t="s">
        <v>45</v>
      </c>
      <c r="M19" s="39"/>
      <c r="N19" s="3"/>
      <c r="O19" s="3"/>
      <c r="P19" s="48" t="s">
        <v>46</v>
      </c>
    </row>
    <row r="20" spans="3:16" x14ac:dyDescent="0.25">
      <c r="C20" s="49" t="s">
        <v>31</v>
      </c>
      <c r="D20" s="33">
        <v>1403</v>
      </c>
      <c r="E20" s="34">
        <v>3</v>
      </c>
      <c r="F20" s="43">
        <f>+(D20*I17)/12</f>
        <v>277.09250000000003</v>
      </c>
      <c r="G20" s="38"/>
      <c r="H20" s="38">
        <f>+(F20*E20)*12</f>
        <v>9975.3300000000017</v>
      </c>
      <c r="I20" s="38">
        <f>+P20*0.065</f>
        <v>17.55</v>
      </c>
      <c r="J20" s="38">
        <f>+H20*1.065</f>
        <v>10623.726450000002</v>
      </c>
      <c r="K20" s="38">
        <f>+J20/12/3</f>
        <v>295.10351250000002</v>
      </c>
      <c r="L20" s="43">
        <f>+H20/F9</f>
        <v>2.3700000000000006</v>
      </c>
      <c r="M20" s="10">
        <f t="shared" ref="M20:M23" si="2">+J20/365</f>
        <v>29.106099863013704</v>
      </c>
      <c r="P20" s="50">
        <v>270</v>
      </c>
    </row>
    <row r="21" spans="3:16" x14ac:dyDescent="0.25">
      <c r="C21" s="49" t="s">
        <v>32</v>
      </c>
      <c r="D21" s="33">
        <v>1281</v>
      </c>
      <c r="E21" s="34">
        <v>15</v>
      </c>
      <c r="F21" s="43">
        <f>+(D21*I17)/12</f>
        <v>252.99750000000003</v>
      </c>
      <c r="G21" s="38"/>
      <c r="H21" s="38">
        <f t="shared" ref="H21:H23" si="3">+(F21*E21)*12</f>
        <v>45539.55</v>
      </c>
      <c r="I21" s="38">
        <f>+P21*0.065</f>
        <v>16.900000000000002</v>
      </c>
      <c r="J21" s="38">
        <f>+H21*1.065</f>
        <v>48499.620750000002</v>
      </c>
      <c r="K21" s="38">
        <f>+J21/12/15</f>
        <v>269.44233750000001</v>
      </c>
      <c r="L21" s="43">
        <f t="shared" ref="L21:L23" si="4">+H21/F10</f>
        <v>2.37</v>
      </c>
      <c r="M21" s="10">
        <f t="shared" si="2"/>
        <v>132.87567328767125</v>
      </c>
      <c r="P21" s="50">
        <v>260</v>
      </c>
    </row>
    <row r="22" spans="3:16" x14ac:dyDescent="0.25">
      <c r="C22" s="49" t="s">
        <v>43</v>
      </c>
      <c r="D22" s="33">
        <v>1900</v>
      </c>
      <c r="E22" s="34">
        <v>4</v>
      </c>
      <c r="F22" s="43">
        <f>+(D22*I17)/12</f>
        <v>375.25</v>
      </c>
      <c r="G22" s="38"/>
      <c r="H22" s="38">
        <f t="shared" si="3"/>
        <v>18012</v>
      </c>
      <c r="I22" s="38">
        <f>+P22*0.065</f>
        <v>20.150000000000002</v>
      </c>
      <c r="J22" s="38">
        <f t="shared" ref="J22:J23" si="5">+H22*1.065</f>
        <v>19182.78</v>
      </c>
      <c r="K22" s="38">
        <f>+J22/12/4</f>
        <v>399.64124999999996</v>
      </c>
      <c r="L22" s="43">
        <f t="shared" si="4"/>
        <v>2.37</v>
      </c>
      <c r="M22" s="10">
        <f t="shared" si="2"/>
        <v>52.555561643835617</v>
      </c>
      <c r="P22" s="50">
        <v>310</v>
      </c>
    </row>
    <row r="23" spans="3:16" ht="15.75" thickBot="1" x14ac:dyDescent="0.3">
      <c r="C23" s="51" t="s">
        <v>42</v>
      </c>
      <c r="D23" s="40">
        <v>1407</v>
      </c>
      <c r="E23" s="41">
        <v>4</v>
      </c>
      <c r="F23" s="52">
        <f>+(D23*I17)/12</f>
        <v>277.88249999999999</v>
      </c>
      <c r="G23" s="42"/>
      <c r="H23" s="42">
        <f t="shared" si="3"/>
        <v>13338.36</v>
      </c>
      <c r="I23" s="42">
        <f>+P23*0.065</f>
        <v>18.525000000000002</v>
      </c>
      <c r="J23" s="42">
        <f t="shared" si="5"/>
        <v>14205.3534</v>
      </c>
      <c r="K23" s="42">
        <f>+J23/12/4</f>
        <v>295.9448625</v>
      </c>
      <c r="L23" s="52">
        <f t="shared" si="4"/>
        <v>2.37</v>
      </c>
      <c r="M23" s="53">
        <f t="shared" si="2"/>
        <v>38.918776438356161</v>
      </c>
      <c r="N23" s="17"/>
      <c r="O23" s="17"/>
      <c r="P23" s="54">
        <v>285</v>
      </c>
    </row>
    <row r="24" spans="3:16" x14ac:dyDescent="0.25">
      <c r="L24" s="24"/>
    </row>
    <row r="25" spans="3:16" x14ac:dyDescent="0.25">
      <c r="E25" s="56" t="s">
        <v>50</v>
      </c>
      <c r="F25" s="37">
        <v>365</v>
      </c>
      <c r="G25" s="38"/>
      <c r="H25" s="38">
        <f>+(F25*E22)*12</f>
        <v>17520</v>
      </c>
      <c r="I25" s="38">
        <f t="shared" ref="I25" si="6">+F25*0.065</f>
        <v>23.725000000000001</v>
      </c>
      <c r="J25" s="38">
        <f t="shared" ref="J25" si="7">+H25*1.065</f>
        <v>18658.8</v>
      </c>
      <c r="K25" s="38">
        <f>+J25/12/4</f>
        <v>388.72499999999997</v>
      </c>
      <c r="L25" s="43">
        <f>+H25/F11</f>
        <v>2.3052631578947369</v>
      </c>
      <c r="M25" s="10">
        <f t="shared" ref="M25" si="8">+J25/365</f>
        <v>51.12</v>
      </c>
      <c r="P25" s="37">
        <v>365</v>
      </c>
    </row>
  </sheetData>
  <pageMargins left="0.7" right="0.7" top="0.75" bottom="0.75" header="0.3" footer="0.3"/>
  <pageSetup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Proposed Rate Card 2023</vt:lpstr>
      <vt:lpstr>Draft 2023 Rate Card</vt:lpstr>
      <vt:lpstr>INCREASE CALCULATIONS</vt:lpstr>
      <vt:lpstr>2022 OCT RATES</vt:lpstr>
      <vt:lpstr>JAT CALCULATIONS</vt:lpstr>
      <vt:lpstr>'2022 OCT RATES'!Print_Area</vt:lpstr>
      <vt:lpstr>'Draft 2023 Rate Card'!Print_Area</vt:lpstr>
      <vt:lpstr>'JAT CALCULATIONS'!Print_Area</vt:lpstr>
      <vt:lpstr>'Proposed Rate Card 2023'!Print_Area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Tcaa Admin</cp:lastModifiedBy>
  <cp:lastPrinted>2023-06-13T17:31:27Z</cp:lastPrinted>
  <dcterms:created xsi:type="dcterms:W3CDTF">2018-08-09T21:07:00Z</dcterms:created>
  <dcterms:modified xsi:type="dcterms:W3CDTF">2023-06-27T19:55:03Z</dcterms:modified>
</cp:coreProperties>
</file>