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501"/>
  <workbookPr filterPrivacy="1" defaultThemeVersion="124226"/>
  <xr:revisionPtr revIDLastSave="191" documentId="8_{627ED680-625E-4EC6-8966-3BECFA3D014D}" xr6:coauthVersionLast="47" xr6:coauthVersionMax="47" xr10:uidLastSave="{F5A14EA8-B86A-4A7A-8810-2F27ECD88BC2}"/>
  <bookViews>
    <workbookView xWindow="-28920" yWindow="-120" windowWidth="29040" windowHeight="15840" xr2:uid="{00000000-000D-0000-FFFF-FFFF00000000}"/>
  </bookViews>
  <sheets>
    <sheet name="Draft 2023-2024" sheetId="4" r:id="rId1"/>
    <sheet name="AMENDED APR 2023" sheetId="3" r:id="rId2"/>
  </sheets>
  <definedNames>
    <definedName name="_xlnm.Print_Area" localSheetId="1">'AMENDED APR 2023'!$A$2:$C$53</definedName>
    <definedName name="_xlnm.Print_Area" localSheetId="0">'Draft 2023-2024'!$A$2:$D$56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54" i="4" l="1"/>
  <c r="F53" i="4"/>
  <c r="B15" i="4"/>
  <c r="B4" i="4"/>
  <c r="B50" i="4" l="1"/>
  <c r="B39" i="4"/>
  <c r="B35" i="4"/>
  <c r="F35" i="4" s="1"/>
  <c r="B33" i="4"/>
  <c r="F33" i="4" s="1"/>
  <c r="D44" i="4"/>
  <c r="D43" i="4"/>
  <c r="D37" i="4"/>
  <c r="D35" i="4"/>
  <c r="D33" i="4"/>
  <c r="D26" i="4"/>
  <c r="D20" i="4"/>
  <c r="D15" i="4"/>
  <c r="D17" i="4" s="1"/>
  <c r="D6" i="4"/>
  <c r="D7" i="4" s="1"/>
  <c r="D22" i="4" s="1"/>
  <c r="D4" i="4"/>
  <c r="D21" i="4" s="1"/>
  <c r="D51" i="3"/>
  <c r="C51" i="3"/>
  <c r="E51" i="3"/>
  <c r="C54" i="4"/>
  <c r="C23" i="4"/>
  <c r="C10" i="4"/>
  <c r="C17" i="4"/>
  <c r="B17" i="4"/>
  <c r="F17" i="4" s="1"/>
  <c r="F52" i="4"/>
  <c r="F51" i="4"/>
  <c r="F50" i="4"/>
  <c r="F49" i="4"/>
  <c r="F48" i="4"/>
  <c r="F47" i="4"/>
  <c r="F46" i="4"/>
  <c r="F45" i="4"/>
  <c r="B44" i="4"/>
  <c r="F44" i="4" s="1"/>
  <c r="B43" i="4"/>
  <c r="F43" i="4" s="1"/>
  <c r="F42" i="4"/>
  <c r="F41" i="4"/>
  <c r="F40" i="4"/>
  <c r="F39" i="4"/>
  <c r="F38" i="4"/>
  <c r="F37" i="4"/>
  <c r="F36" i="4"/>
  <c r="F34" i="4"/>
  <c r="F32" i="4"/>
  <c r="F31" i="4"/>
  <c r="F30" i="4"/>
  <c r="F29" i="4"/>
  <c r="F28" i="4"/>
  <c r="F27" i="4"/>
  <c r="B26" i="4"/>
  <c r="F25" i="4"/>
  <c r="F24" i="4"/>
  <c r="B20" i="4"/>
  <c r="F20" i="4" s="1"/>
  <c r="F19" i="4"/>
  <c r="F18" i="4"/>
  <c r="F16" i="4"/>
  <c r="F13" i="4"/>
  <c r="F12" i="4"/>
  <c r="F11" i="4"/>
  <c r="F9" i="4"/>
  <c r="F8" i="4"/>
  <c r="F4" i="4"/>
  <c r="B35" i="3"/>
  <c r="E35" i="3" s="1"/>
  <c r="E50" i="3"/>
  <c r="E49" i="3"/>
  <c r="E48" i="3"/>
  <c r="E47" i="3"/>
  <c r="E46" i="3"/>
  <c r="E45" i="3"/>
  <c r="E44" i="3"/>
  <c r="E43" i="3"/>
  <c r="B42" i="3"/>
  <c r="E42" i="3" s="1"/>
  <c r="E41" i="3"/>
  <c r="B41" i="3"/>
  <c r="E40" i="3"/>
  <c r="E39" i="3"/>
  <c r="E38" i="3"/>
  <c r="E37" i="3"/>
  <c r="E36" i="3"/>
  <c r="E34" i="3"/>
  <c r="B33" i="3"/>
  <c r="E33" i="3" s="1"/>
  <c r="E32" i="3"/>
  <c r="B31" i="3"/>
  <c r="E31" i="3" s="1"/>
  <c r="E30" i="3"/>
  <c r="E29" i="3"/>
  <c r="E28" i="3"/>
  <c r="E27" i="3"/>
  <c r="E26" i="3"/>
  <c r="E25" i="3"/>
  <c r="B24" i="3"/>
  <c r="B51" i="3" s="1"/>
  <c r="E23" i="3"/>
  <c r="E22" i="3"/>
  <c r="E18" i="3"/>
  <c r="B18" i="3"/>
  <c r="E17" i="3"/>
  <c r="E16" i="3"/>
  <c r="E14" i="3"/>
  <c r="B13" i="3"/>
  <c r="B15" i="3" s="1"/>
  <c r="E15" i="3" s="1"/>
  <c r="E12" i="3"/>
  <c r="E11" i="3"/>
  <c r="E10" i="3"/>
  <c r="E8" i="3"/>
  <c r="E7" i="3"/>
  <c r="B5" i="3"/>
  <c r="E4" i="3"/>
  <c r="B4" i="3"/>
  <c r="D54" i="4" l="1"/>
  <c r="C56" i="4"/>
  <c r="D23" i="4"/>
  <c r="D56" i="4" s="1"/>
  <c r="D10" i="4"/>
  <c r="F15" i="4"/>
  <c r="B21" i="4"/>
  <c r="F6" i="4"/>
  <c r="F26" i="4"/>
  <c r="B7" i="4"/>
  <c r="F7" i="4" s="1"/>
  <c r="E13" i="3"/>
  <c r="B19" i="3"/>
  <c r="E5" i="3"/>
  <c r="E24" i="3"/>
  <c r="B6" i="3"/>
  <c r="E6" i="3" s="1"/>
  <c r="F21" i="4" l="1"/>
  <c r="B10" i="4"/>
  <c r="F10" i="4" s="1"/>
  <c r="B22" i="4"/>
  <c r="F22" i="4" s="1"/>
  <c r="E19" i="3"/>
  <c r="B9" i="3"/>
  <c r="E9" i="3" s="1"/>
  <c r="B20" i="3"/>
  <c r="E20" i="3" s="1"/>
  <c r="B23" i="4" l="1"/>
  <c r="B21" i="3"/>
  <c r="B56" i="4" l="1"/>
  <c r="F23" i="4"/>
  <c r="B53" i="3"/>
  <c r="E21" i="3"/>
</calcChain>
</file>

<file path=xl/sharedStrings.xml><?xml version="1.0" encoding="utf-8"?>
<sst xmlns="http://schemas.openxmlformats.org/spreadsheetml/2006/main" count="109" uniqueCount="59">
  <si>
    <t>Income</t>
  </si>
  <si>
    <t>Fuel Sales</t>
  </si>
  <si>
    <t>Hanger Rentals</t>
  </si>
  <si>
    <t xml:space="preserve"> + Sales Tax Collection Allowance</t>
  </si>
  <si>
    <t>Total  Revenue</t>
  </si>
  <si>
    <t>Cost of Goods Sold</t>
  </si>
  <si>
    <t>Fuel Purchased - Resale</t>
  </si>
  <si>
    <t>Credit Card Fees</t>
  </si>
  <si>
    <t>Total COGS</t>
  </si>
  <si>
    <t>Gross Profit</t>
  </si>
  <si>
    <t>Fuel</t>
  </si>
  <si>
    <t>Other - Hangars</t>
  </si>
  <si>
    <t>Combined Gross Profit</t>
  </si>
  <si>
    <t xml:space="preserve">Accounting </t>
  </si>
  <si>
    <t>Advertising</t>
  </si>
  <si>
    <t>Annual Audit</t>
  </si>
  <si>
    <t>Auto Expenses</t>
  </si>
  <si>
    <t>Bad Debt Expense</t>
  </si>
  <si>
    <t>Bank Charges</t>
  </si>
  <si>
    <t>Contract Labor</t>
  </si>
  <si>
    <t>Dues &amp; Subscriptions (Incl., SiteMinder License)</t>
  </si>
  <si>
    <t>Garbage Service</t>
  </si>
  <si>
    <t>General Promotion/Mktg</t>
  </si>
  <si>
    <t>Insurance</t>
  </si>
  <si>
    <t>Interest Expense</t>
  </si>
  <si>
    <t>Internet Services</t>
  </si>
  <si>
    <t>Legal &amp; Professional</t>
  </si>
  <si>
    <t>Meals &amp; Entertainment</t>
  </si>
  <si>
    <t>Miscellaneous</t>
  </si>
  <si>
    <t>Office Expenses</t>
  </si>
  <si>
    <t>Payroll taxes</t>
  </si>
  <si>
    <t>Postage</t>
  </si>
  <si>
    <t>Refund</t>
  </si>
  <si>
    <t>Repairs &amp; Maintenance</t>
  </si>
  <si>
    <t>Salary - Manager</t>
  </si>
  <si>
    <t>Supplies</t>
  </si>
  <si>
    <t>Telephones</t>
  </si>
  <si>
    <t>Utilities</t>
  </si>
  <si>
    <t>Wages - Operations</t>
  </si>
  <si>
    <t>Total  Expenses</t>
  </si>
  <si>
    <t>Less:  Use Tax Collected at 7.5%</t>
  </si>
  <si>
    <t>Operating Surplus (Deficit)</t>
  </si>
  <si>
    <t>Continuing Education</t>
  </si>
  <si>
    <t>Food Service Revenue</t>
  </si>
  <si>
    <t>Food Service cost</t>
  </si>
  <si>
    <t>Food Service</t>
  </si>
  <si>
    <t>*Any funds from the LOC repayment budget will be put towards the reserve any time the LOC is paid in full</t>
  </si>
  <si>
    <t>LOC Repayment and Reserve Acct*</t>
  </si>
  <si>
    <t>Tri-County Airport Authority - Proposed Budget</t>
  </si>
  <si>
    <t>Fiscal Year Commencing October 1, 2022</t>
  </si>
  <si>
    <t>increase of 1456.35</t>
  </si>
  <si>
    <t>increased to 7500.00</t>
  </si>
  <si>
    <t>YTD 8 months</t>
  </si>
  <si>
    <t>Fuel Additive (Prist/D-Ice)</t>
  </si>
  <si>
    <t>Fuel Additive (D-Ice-Prist)</t>
  </si>
  <si>
    <t>Website Costs</t>
  </si>
  <si>
    <t>Fiscal Year Commencing October 1, 2023</t>
  </si>
  <si>
    <t>FY2022-2023</t>
  </si>
  <si>
    <t>Combined Gross Profit      44%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</si>
</sst>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43" formatCode="_(* #,##0.00_);_(* \(#,##0.00\);_(* &quot;-&quot;??_);_(@_)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Arial"/>
      <family val="2"/>
    </font>
    <font>
      <sz val="14"/>
      <color theme="1"/>
      <name val="Arial"/>
      <family val="2"/>
    </font>
    <font>
      <u val="singleAccounting"/>
      <sz val="14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249977111117893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7">
    <xf numFmtId="0" fontId="0" fillId="0" borderId="0" xfId="0"/>
    <xf numFmtId="0" fontId="2" fillId="0" borderId="0" xfId="0" applyFont="1"/>
    <xf numFmtId="0" fontId="3" fillId="0" borderId="0" xfId="0" applyFont="1"/>
    <xf numFmtId="0" fontId="2" fillId="0" borderId="3" xfId="0" applyFont="1" applyBorder="1"/>
    <xf numFmtId="44" fontId="3" fillId="0" borderId="4" xfId="1" applyFont="1" applyBorder="1"/>
    <xf numFmtId="0" fontId="3" fillId="0" borderId="3" xfId="0" applyFont="1" applyBorder="1" applyAlignment="1">
      <alignment horizontal="right"/>
    </xf>
    <xf numFmtId="0" fontId="3" fillId="0" borderId="1" xfId="0" applyFont="1" applyBorder="1"/>
    <xf numFmtId="44" fontId="3" fillId="2" borderId="2" xfId="1" applyFont="1" applyFill="1" applyBorder="1"/>
    <xf numFmtId="0" fontId="3" fillId="0" borderId="1" xfId="0" applyFont="1" applyBorder="1" applyAlignment="1">
      <alignment horizontal="right"/>
    </xf>
    <xf numFmtId="44" fontId="3" fillId="4" borderId="2" xfId="1" applyFont="1" applyFill="1" applyBorder="1"/>
    <xf numFmtId="0" fontId="2" fillId="3" borderId="1" xfId="0" applyFont="1" applyFill="1" applyBorder="1"/>
    <xf numFmtId="44" fontId="2" fillId="3" borderId="2" xfId="1" applyFont="1" applyFill="1" applyBorder="1"/>
    <xf numFmtId="44" fontId="3" fillId="0" borderId="2" xfId="1" applyFont="1" applyBorder="1"/>
    <xf numFmtId="0" fontId="2" fillId="0" borderId="1" xfId="0" applyFont="1" applyBorder="1"/>
    <xf numFmtId="44" fontId="4" fillId="2" borderId="2" xfId="1" applyFont="1" applyFill="1" applyBorder="1"/>
    <xf numFmtId="0" fontId="3" fillId="0" borderId="0" xfId="0" applyFont="1" applyAlignment="1">
      <alignment horizontal="left" vertical="top"/>
    </xf>
    <xf numFmtId="0" fontId="3" fillId="0" borderId="0" xfId="0" applyFont="1" applyAlignment="1">
      <alignment vertical="top"/>
    </xf>
    <xf numFmtId="43" fontId="3" fillId="0" borderId="1" xfId="0" applyNumberFormat="1" applyFont="1" applyBorder="1" applyAlignment="1">
      <alignment horizontal="left"/>
    </xf>
    <xf numFmtId="0" fontId="2" fillId="3" borderId="1" xfId="0" applyFont="1" applyFill="1" applyBorder="1" applyAlignment="1">
      <alignment horizontal="left"/>
    </xf>
    <xf numFmtId="0" fontId="3" fillId="0" borderId="1" xfId="0" applyFont="1" applyBorder="1" applyAlignment="1">
      <alignment horizontal="left"/>
    </xf>
    <xf numFmtId="0" fontId="3" fillId="0" borderId="2" xfId="0" applyFont="1" applyBorder="1"/>
    <xf numFmtId="44" fontId="2" fillId="3" borderId="1" xfId="0" applyNumberFormat="1" applyFont="1" applyFill="1" applyBorder="1"/>
    <xf numFmtId="0" fontId="3" fillId="0" borderId="0" xfId="0" applyFont="1" applyAlignment="1">
      <alignment horizontal="left"/>
    </xf>
    <xf numFmtId="44" fontId="3" fillId="0" borderId="0" xfId="1" applyFont="1" applyFill="1" applyBorder="1" applyAlignment="1">
      <alignment horizontal="center"/>
    </xf>
    <xf numFmtId="0" fontId="3" fillId="0" borderId="0" xfId="0" applyFont="1" applyAlignment="1">
      <alignment horizontal="center"/>
    </xf>
    <xf numFmtId="44" fontId="2" fillId="0" borderId="0" xfId="0" applyNumberFormat="1" applyFont="1"/>
    <xf numFmtId="0" fontId="3" fillId="0" borderId="1" xfId="0" applyFont="1" applyBorder="1" applyAlignment="1">
      <alignment wrapText="1"/>
    </xf>
    <xf numFmtId="44" fontId="3" fillId="0" borderId="0" xfId="0" applyNumberFormat="1" applyFont="1"/>
    <xf numFmtId="44" fontId="3" fillId="5" borderId="0" xfId="0" applyNumberFormat="1" applyFont="1" applyFill="1"/>
    <xf numFmtId="17" fontId="3" fillId="0" borderId="0" xfId="0" applyNumberFormat="1" applyFont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44" fontId="3" fillId="0" borderId="0" xfId="1" applyFont="1"/>
    <xf numFmtId="0" fontId="3" fillId="0" borderId="5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3" fillId="0" borderId="2" xfId="0" applyFont="1" applyBorder="1" applyAlignment="1">
      <alignment horizontal="right"/>
    </xf>
    <xf numFmtId="44" fontId="3" fillId="0" borderId="0" xfId="1" applyFont="1" applyAlignment="1">
      <alignment horizontal="left" vertical="top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D7825F-262A-4694-BC94-EF7264C58D8C}">
  <dimension ref="A1:Q60"/>
  <sheetViews>
    <sheetView tabSelected="1" zoomScaleNormal="100" workbookViewId="0">
      <selection activeCell="A24" sqref="A24"/>
    </sheetView>
  </sheetViews>
  <sheetFormatPr defaultColWidth="34.7109375" defaultRowHeight="18" x14ac:dyDescent="0.25"/>
  <cols>
    <col min="1" max="1" width="59.85546875" style="2" customWidth="1"/>
    <col min="2" max="2" width="22.140625" style="2" customWidth="1"/>
    <col min="3" max="3" width="46.5703125" style="2" hidden="1" customWidth="1"/>
    <col min="4" max="4" width="26.85546875" style="2" customWidth="1"/>
    <col min="5" max="16384" width="34.7109375" style="2"/>
  </cols>
  <sheetData>
    <row r="1" spans="1:6" x14ac:dyDescent="0.25">
      <c r="A1" s="33" t="s">
        <v>48</v>
      </c>
      <c r="B1" s="33"/>
      <c r="C1" s="33"/>
      <c r="D1" s="24" t="s">
        <v>57</v>
      </c>
      <c r="E1" s="24" t="s">
        <v>52</v>
      </c>
    </row>
    <row r="2" spans="1:6" x14ac:dyDescent="0.25">
      <c r="A2" s="34" t="s">
        <v>56</v>
      </c>
      <c r="B2" s="34"/>
      <c r="C2" s="34"/>
      <c r="D2" s="30"/>
      <c r="E2" s="1"/>
    </row>
    <row r="3" spans="1:6" x14ac:dyDescent="0.25">
      <c r="A3" s="3" t="s">
        <v>0</v>
      </c>
      <c r="B3" s="4"/>
      <c r="C3" s="5"/>
      <c r="D3" s="31"/>
    </row>
    <row r="4" spans="1:6" x14ac:dyDescent="0.25">
      <c r="A4" s="6" t="s">
        <v>1</v>
      </c>
      <c r="B4" s="7">
        <f>((E4/8)*12)*0.7</f>
        <v>277333.94849999994</v>
      </c>
      <c r="C4" s="8"/>
      <c r="D4" s="7">
        <f>21625*12</f>
        <v>259500</v>
      </c>
      <c r="E4" s="32">
        <v>264127.57</v>
      </c>
      <c r="F4" s="28">
        <f>B4/12</f>
        <v>23111.162374999996</v>
      </c>
    </row>
    <row r="5" spans="1:6" x14ac:dyDescent="0.25">
      <c r="A5" s="6" t="s">
        <v>53</v>
      </c>
      <c r="B5" s="7"/>
      <c r="C5" s="8"/>
      <c r="D5" s="7"/>
      <c r="E5" s="32">
        <v>1432.9</v>
      </c>
      <c r="F5" s="28"/>
    </row>
    <row r="6" spans="1:6" x14ac:dyDescent="0.25">
      <c r="A6" s="6" t="s">
        <v>2</v>
      </c>
      <c r="B6" s="7">
        <v>162343.22</v>
      </c>
      <c r="C6" s="6"/>
      <c r="D6" s="7">
        <f>156057.3*0.95</f>
        <v>148254.43499999997</v>
      </c>
      <c r="E6" s="32">
        <v>111281.87</v>
      </c>
      <c r="F6" s="28">
        <f>B6/12</f>
        <v>13528.601666666667</v>
      </c>
    </row>
    <row r="7" spans="1:6" x14ac:dyDescent="0.25">
      <c r="A7" s="6" t="s">
        <v>40</v>
      </c>
      <c r="B7" s="7">
        <f>+B6*0.075*-1</f>
        <v>-12175.7415</v>
      </c>
      <c r="C7" s="8"/>
      <c r="D7" s="7">
        <f>+D6*0.075*-1</f>
        <v>-11119.082624999997</v>
      </c>
      <c r="E7" s="32">
        <v>-7799.72</v>
      </c>
      <c r="F7" s="28">
        <f>B7/12</f>
        <v>-1014.645125</v>
      </c>
    </row>
    <row r="8" spans="1:6" x14ac:dyDescent="0.25">
      <c r="A8" s="6" t="s">
        <v>3</v>
      </c>
      <c r="B8" s="7">
        <v>277</v>
      </c>
      <c r="C8" s="8"/>
      <c r="D8" s="7">
        <v>277</v>
      </c>
      <c r="E8" s="32">
        <v>199.6</v>
      </c>
      <c r="F8" s="28">
        <f>B8/12</f>
        <v>23.083333333333332</v>
      </c>
    </row>
    <row r="9" spans="1:6" x14ac:dyDescent="0.25">
      <c r="A9" s="6" t="s">
        <v>43</v>
      </c>
      <c r="B9" s="9">
        <v>500</v>
      </c>
      <c r="C9" s="8"/>
      <c r="D9" s="9">
        <v>500</v>
      </c>
      <c r="E9" s="32">
        <v>713.3</v>
      </c>
      <c r="F9" s="28">
        <f>B9/12</f>
        <v>41.666666666666664</v>
      </c>
    </row>
    <row r="10" spans="1:6" x14ac:dyDescent="0.25">
      <c r="A10" s="10" t="s">
        <v>4</v>
      </c>
      <c r="B10" s="11">
        <f>SUM(B4:B9)</f>
        <v>428278.42699999991</v>
      </c>
      <c r="C10" s="11">
        <f t="shared" ref="C10" si="0">SUM(C4:C9)</f>
        <v>0</v>
      </c>
      <c r="D10" s="11">
        <f>SUM(D4:D9)</f>
        <v>397412.35237499996</v>
      </c>
      <c r="E10" s="32">
        <v>369955.52</v>
      </c>
      <c r="F10" s="27">
        <f>B10/12</f>
        <v>35689.868916666659</v>
      </c>
    </row>
    <row r="11" spans="1:6" x14ac:dyDescent="0.25">
      <c r="A11" s="6"/>
      <c r="B11" s="12"/>
      <c r="C11" s="8"/>
      <c r="D11" s="12"/>
      <c r="E11" s="32"/>
      <c r="F11" s="27">
        <f>B11/12</f>
        <v>0</v>
      </c>
    </row>
    <row r="12" spans="1:6" x14ac:dyDescent="0.25">
      <c r="A12" s="13" t="s">
        <v>5</v>
      </c>
      <c r="B12" s="12"/>
      <c r="C12" s="8"/>
      <c r="D12" s="12"/>
      <c r="E12" s="32"/>
      <c r="F12" s="27">
        <f>B12/12</f>
        <v>0</v>
      </c>
    </row>
    <row r="13" spans="1:6" x14ac:dyDescent="0.25">
      <c r="A13" s="6" t="s">
        <v>44</v>
      </c>
      <c r="B13" s="9">
        <v>1200</v>
      </c>
      <c r="C13" s="8"/>
      <c r="D13" s="9">
        <v>1200</v>
      </c>
      <c r="E13" s="32">
        <v>850.56</v>
      </c>
      <c r="F13" s="28">
        <f>B13/12</f>
        <v>100</v>
      </c>
    </row>
    <row r="14" spans="1:6" x14ac:dyDescent="0.25">
      <c r="A14" s="6" t="s">
        <v>54</v>
      </c>
      <c r="B14" s="9"/>
      <c r="C14" s="8"/>
      <c r="D14" s="9"/>
      <c r="E14" s="32">
        <v>2058.06</v>
      </c>
      <c r="F14" s="28"/>
    </row>
    <row r="15" spans="1:6" x14ac:dyDescent="0.25">
      <c r="A15" s="6" t="s">
        <v>6</v>
      </c>
      <c r="B15" s="7">
        <f>((E15/8)*12)*0.7</f>
        <v>240286.59899999999</v>
      </c>
      <c r="C15" s="8"/>
      <c r="D15" s="7">
        <f>17431*12</f>
        <v>209172</v>
      </c>
      <c r="E15" s="32">
        <v>228844.38</v>
      </c>
      <c r="F15" s="28">
        <f>B15/12</f>
        <v>20023.883249999999</v>
      </c>
    </row>
    <row r="16" spans="1:6" ht="20.25" x14ac:dyDescent="0.4">
      <c r="A16" s="6" t="s">
        <v>7</v>
      </c>
      <c r="B16" s="14">
        <v>5600</v>
      </c>
      <c r="C16" s="8"/>
      <c r="D16" s="14">
        <v>5600</v>
      </c>
      <c r="E16" s="32">
        <v>437</v>
      </c>
      <c r="F16" s="28">
        <f>B16/12</f>
        <v>466.66666666666669</v>
      </c>
    </row>
    <row r="17" spans="1:17" x14ac:dyDescent="0.25">
      <c r="A17" s="10" t="s">
        <v>8</v>
      </c>
      <c r="B17" s="11">
        <f>SUM(B13:B16)</f>
        <v>247086.59899999999</v>
      </c>
      <c r="C17" s="11">
        <f t="shared" ref="C17" si="1">SUM(C13:C16)</f>
        <v>0</v>
      </c>
      <c r="D17" s="11">
        <f>SUM(D13:D16)</f>
        <v>215972</v>
      </c>
      <c r="E17" s="32">
        <v>236131</v>
      </c>
      <c r="F17" s="27">
        <f>B17/12</f>
        <v>20590.549916666667</v>
      </c>
    </row>
    <row r="18" spans="1:17" x14ac:dyDescent="0.25">
      <c r="A18" s="6"/>
      <c r="B18" s="12"/>
      <c r="C18" s="8"/>
      <c r="D18" s="12"/>
      <c r="E18" s="32"/>
      <c r="F18" s="27">
        <f>B18/12</f>
        <v>0</v>
      </c>
    </row>
    <row r="19" spans="1:17" x14ac:dyDescent="0.25">
      <c r="A19" s="13" t="s">
        <v>9</v>
      </c>
      <c r="B19" s="12"/>
      <c r="C19" s="8"/>
      <c r="D19" s="12"/>
      <c r="E19" s="32"/>
      <c r="F19" s="27">
        <f>B19/12</f>
        <v>0</v>
      </c>
    </row>
    <row r="20" spans="1:17" x14ac:dyDescent="0.25">
      <c r="A20" s="6" t="s">
        <v>45</v>
      </c>
      <c r="B20" s="9">
        <f>B9-B13</f>
        <v>-700</v>
      </c>
      <c r="C20" s="8"/>
      <c r="D20" s="9">
        <f>D9-D13</f>
        <v>-700</v>
      </c>
      <c r="E20" s="32">
        <v>-137.26</v>
      </c>
      <c r="F20" s="27">
        <f>B20/12</f>
        <v>-58.333333333333336</v>
      </c>
    </row>
    <row r="21" spans="1:17" x14ac:dyDescent="0.25">
      <c r="A21" s="6" t="s">
        <v>10</v>
      </c>
      <c r="B21" s="7">
        <f>+B4-B15</f>
        <v>37047.349499999953</v>
      </c>
      <c r="C21" s="8"/>
      <c r="D21" s="7">
        <f>+D4-D15</f>
        <v>50328</v>
      </c>
      <c r="E21" s="32">
        <v>35283.19</v>
      </c>
      <c r="F21" s="27">
        <f>B21/12</f>
        <v>3087.2791249999959</v>
      </c>
    </row>
    <row r="22" spans="1:17" ht="20.25" x14ac:dyDescent="0.4">
      <c r="A22" s="6" t="s">
        <v>11</v>
      </c>
      <c r="B22" s="14">
        <f>+B6+B7</f>
        <v>150167.4785</v>
      </c>
      <c r="C22" s="6"/>
      <c r="D22" s="14">
        <f>+D6+D7</f>
        <v>137135.35237499996</v>
      </c>
      <c r="E22" s="32">
        <v>103482.15</v>
      </c>
      <c r="F22" s="27">
        <f>B22/12</f>
        <v>12513.956541666666</v>
      </c>
    </row>
    <row r="23" spans="1:17" x14ac:dyDescent="0.25">
      <c r="A23" s="10" t="s">
        <v>58</v>
      </c>
      <c r="B23" s="11">
        <f>SUM(B20:B22)</f>
        <v>186514.82799999995</v>
      </c>
      <c r="C23" s="11">
        <f t="shared" ref="C23" si="2">SUM(C20:C22)</f>
        <v>0</v>
      </c>
      <c r="D23" s="11">
        <f>SUM(D20:D22)</f>
        <v>186763.35237499996</v>
      </c>
      <c r="E23" s="32">
        <v>138628.07999999999</v>
      </c>
      <c r="F23" s="27">
        <f>B23/12</f>
        <v>15542.90233333333</v>
      </c>
    </row>
    <row r="24" spans="1:17" x14ac:dyDescent="0.25">
      <c r="A24" s="6"/>
      <c r="B24" s="12"/>
      <c r="C24" s="8"/>
      <c r="D24" s="12"/>
      <c r="E24" s="32"/>
      <c r="F24" s="27">
        <f>B24/12</f>
        <v>0</v>
      </c>
    </row>
    <row r="25" spans="1:17" ht="58.5" customHeight="1" x14ac:dyDescent="0.25">
      <c r="A25" s="6" t="s">
        <v>47</v>
      </c>
      <c r="B25" s="7">
        <v>15000</v>
      </c>
      <c r="C25" s="26" t="s">
        <v>46</v>
      </c>
      <c r="D25" s="7">
        <v>12000</v>
      </c>
      <c r="E25" s="32">
        <v>0</v>
      </c>
      <c r="F25" s="27">
        <f>B25/12</f>
        <v>1250</v>
      </c>
      <c r="P25" s="15"/>
    </row>
    <row r="26" spans="1:17" x14ac:dyDescent="0.25">
      <c r="A26" s="6" t="s">
        <v>13</v>
      </c>
      <c r="B26" s="7">
        <f>365*12</f>
        <v>4380</v>
      </c>
      <c r="C26" s="8"/>
      <c r="D26" s="7">
        <f>365*12</f>
        <v>4380</v>
      </c>
      <c r="E26" s="36">
        <v>2920</v>
      </c>
      <c r="F26" s="28">
        <f>B26/12</f>
        <v>365</v>
      </c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1:17" x14ac:dyDescent="0.25">
      <c r="A27" s="6" t="s">
        <v>14</v>
      </c>
      <c r="B27" s="7">
        <v>2500</v>
      </c>
      <c r="C27" s="8"/>
      <c r="D27" s="7">
        <v>2500</v>
      </c>
      <c r="E27" s="32">
        <v>2229.1</v>
      </c>
      <c r="F27" s="28">
        <f>B27/12</f>
        <v>208.33333333333334</v>
      </c>
    </row>
    <row r="28" spans="1:17" x14ac:dyDescent="0.25">
      <c r="A28" s="6" t="s">
        <v>15</v>
      </c>
      <c r="B28" s="7">
        <v>8000</v>
      </c>
      <c r="C28" s="6"/>
      <c r="D28" s="7">
        <v>7500</v>
      </c>
      <c r="E28" s="32">
        <v>7500</v>
      </c>
      <c r="F28" s="28">
        <f>B28/12</f>
        <v>666.66666666666663</v>
      </c>
      <c r="G28" s="2" t="s">
        <v>51</v>
      </c>
    </row>
    <row r="29" spans="1:17" x14ac:dyDescent="0.25">
      <c r="A29" s="6" t="s">
        <v>16</v>
      </c>
      <c r="B29" s="7">
        <v>250</v>
      </c>
      <c r="C29" s="8"/>
      <c r="D29" s="7">
        <v>500</v>
      </c>
      <c r="E29" s="32">
        <v>0</v>
      </c>
      <c r="F29" s="28">
        <f>B29/12</f>
        <v>20.833333333333332</v>
      </c>
    </row>
    <row r="30" spans="1:17" x14ac:dyDescent="0.25">
      <c r="A30" s="6" t="s">
        <v>17</v>
      </c>
      <c r="B30" s="7">
        <v>0</v>
      </c>
      <c r="C30" s="8"/>
      <c r="D30" s="7">
        <v>0</v>
      </c>
      <c r="E30" s="32">
        <v>0</v>
      </c>
      <c r="F30" s="27">
        <f>B30/12</f>
        <v>0</v>
      </c>
    </row>
    <row r="31" spans="1:17" x14ac:dyDescent="0.25">
      <c r="A31" s="6" t="s">
        <v>18</v>
      </c>
      <c r="B31" s="7">
        <v>500</v>
      </c>
      <c r="C31" s="8"/>
      <c r="D31" s="7">
        <v>500</v>
      </c>
      <c r="E31" s="32">
        <v>180.89</v>
      </c>
      <c r="F31" s="28">
        <f>B31/12</f>
        <v>41.666666666666664</v>
      </c>
    </row>
    <row r="32" spans="1:17" x14ac:dyDescent="0.25">
      <c r="A32" s="6" t="s">
        <v>42</v>
      </c>
      <c r="B32" s="7">
        <v>750</v>
      </c>
      <c r="C32" s="8"/>
      <c r="D32" s="7">
        <v>750</v>
      </c>
      <c r="E32" s="32">
        <v>0</v>
      </c>
      <c r="F32" s="28">
        <f>B32/12</f>
        <v>62.5</v>
      </c>
    </row>
    <row r="33" spans="1:10" ht="20.25" x14ac:dyDescent="0.4">
      <c r="A33" s="6" t="s">
        <v>19</v>
      </c>
      <c r="B33" s="14">
        <f>(15*17)*52</f>
        <v>13260</v>
      </c>
      <c r="C33" s="6"/>
      <c r="D33" s="14">
        <f>(12*17)*52</f>
        <v>10608</v>
      </c>
      <c r="E33" s="32">
        <v>6984.5</v>
      </c>
      <c r="F33" s="28">
        <f>B33/12</f>
        <v>1105</v>
      </c>
    </row>
    <row r="34" spans="1:10" x14ac:dyDescent="0.25">
      <c r="A34" s="6" t="s">
        <v>20</v>
      </c>
      <c r="B34" s="7">
        <v>4750</v>
      </c>
      <c r="C34" s="8"/>
      <c r="D34" s="7">
        <v>4275</v>
      </c>
      <c r="E34" s="32">
        <v>3675.78</v>
      </c>
      <c r="F34" s="28">
        <f>B34/12</f>
        <v>395.83333333333331</v>
      </c>
      <c r="J34" s="16"/>
    </row>
    <row r="35" spans="1:10" x14ac:dyDescent="0.25">
      <c r="A35" s="6" t="s">
        <v>21</v>
      </c>
      <c r="B35" s="9">
        <f>400*12</f>
        <v>4800</v>
      </c>
      <c r="C35" s="8"/>
      <c r="D35" s="9">
        <f>360*12</f>
        <v>4320</v>
      </c>
      <c r="E35" s="32">
        <v>3159.21</v>
      </c>
      <c r="F35" s="28">
        <f>B35/12</f>
        <v>400</v>
      </c>
      <c r="J35" s="16"/>
    </row>
    <row r="36" spans="1:10" x14ac:dyDescent="0.25">
      <c r="A36" s="6" t="s">
        <v>22</v>
      </c>
      <c r="B36" s="9">
        <v>600</v>
      </c>
      <c r="C36" s="8"/>
      <c r="D36" s="9">
        <v>600</v>
      </c>
      <c r="E36" s="32">
        <v>0</v>
      </c>
      <c r="F36" s="28">
        <f>B36/12</f>
        <v>50</v>
      </c>
    </row>
    <row r="37" spans="1:10" x14ac:dyDescent="0.25">
      <c r="A37" s="6" t="s">
        <v>23</v>
      </c>
      <c r="B37" s="7">
        <v>40000</v>
      </c>
      <c r="C37" s="6"/>
      <c r="D37" s="7">
        <f>34009.13+1456.35</f>
        <v>35465.479999999996</v>
      </c>
      <c r="E37" s="32">
        <v>23067.75</v>
      </c>
      <c r="F37" s="28">
        <f>B37/12</f>
        <v>3333.3333333333335</v>
      </c>
      <c r="G37" s="2" t="s">
        <v>50</v>
      </c>
    </row>
    <row r="38" spans="1:10" x14ac:dyDescent="0.25">
      <c r="A38" s="6" t="s">
        <v>24</v>
      </c>
      <c r="B38" s="7">
        <v>200</v>
      </c>
      <c r="C38" s="8"/>
      <c r="D38" s="7">
        <v>200</v>
      </c>
      <c r="E38" s="32">
        <v>178.77</v>
      </c>
      <c r="F38" s="28">
        <f>B38/12</f>
        <v>16.666666666666668</v>
      </c>
    </row>
    <row r="39" spans="1:10" x14ac:dyDescent="0.25">
      <c r="A39" s="6" t="s">
        <v>25</v>
      </c>
      <c r="B39" s="9">
        <f>150*12</f>
        <v>1800</v>
      </c>
      <c r="C39" s="8"/>
      <c r="D39" s="9">
        <v>750</v>
      </c>
      <c r="E39" s="32">
        <v>960</v>
      </c>
      <c r="F39" s="28">
        <f>B39/12</f>
        <v>150</v>
      </c>
    </row>
    <row r="40" spans="1:10" x14ac:dyDescent="0.25">
      <c r="A40" s="6" t="s">
        <v>26</v>
      </c>
      <c r="B40" s="9">
        <v>1200</v>
      </c>
      <c r="C40" s="8"/>
      <c r="D40" s="9">
        <v>2175</v>
      </c>
      <c r="E40" s="32">
        <v>982.5</v>
      </c>
      <c r="F40" s="28">
        <f>B40/12</f>
        <v>100</v>
      </c>
    </row>
    <row r="41" spans="1:10" x14ac:dyDescent="0.25">
      <c r="A41" s="6" t="s">
        <v>27</v>
      </c>
      <c r="B41" s="7">
        <v>0</v>
      </c>
      <c r="C41" s="6"/>
      <c r="D41" s="7">
        <v>0</v>
      </c>
      <c r="E41" s="32">
        <v>0</v>
      </c>
      <c r="F41" s="27">
        <f>B41/12</f>
        <v>0</v>
      </c>
    </row>
    <row r="42" spans="1:10" x14ac:dyDescent="0.25">
      <c r="A42" s="6" t="s">
        <v>28</v>
      </c>
      <c r="B42" s="7">
        <v>500</v>
      </c>
      <c r="C42" s="8"/>
      <c r="D42" s="7">
        <v>500</v>
      </c>
      <c r="E42" s="32">
        <v>106.73</v>
      </c>
      <c r="F42" s="28">
        <f>B42/12</f>
        <v>41.666666666666664</v>
      </c>
    </row>
    <row r="43" spans="1:10" x14ac:dyDescent="0.25">
      <c r="A43" s="17" t="s">
        <v>29</v>
      </c>
      <c r="B43" s="7">
        <f>(3200+1000)/2</f>
        <v>2100</v>
      </c>
      <c r="C43" s="8"/>
      <c r="D43" s="7">
        <f>(3200+1000)/2</f>
        <v>2100</v>
      </c>
      <c r="E43" s="32">
        <v>1593.07</v>
      </c>
      <c r="F43" s="28">
        <f>B43/12</f>
        <v>175</v>
      </c>
    </row>
    <row r="44" spans="1:10" x14ac:dyDescent="0.25">
      <c r="A44" s="6" t="s">
        <v>30</v>
      </c>
      <c r="B44" s="7">
        <f>B48*0.0765</f>
        <v>3060</v>
      </c>
      <c r="C44" s="6"/>
      <c r="D44" s="7">
        <f>D48*0.0765</f>
        <v>2945.25</v>
      </c>
      <c r="E44" s="32">
        <v>2136.66</v>
      </c>
      <c r="F44" s="28">
        <f>B44/12</f>
        <v>255</v>
      </c>
    </row>
    <row r="45" spans="1:10" x14ac:dyDescent="0.25">
      <c r="A45" s="6" t="s">
        <v>31</v>
      </c>
      <c r="B45" s="7">
        <v>200</v>
      </c>
      <c r="C45" s="8"/>
      <c r="D45" s="7">
        <v>250</v>
      </c>
      <c r="E45" s="32">
        <v>220.58</v>
      </c>
      <c r="F45" s="28">
        <f>B45/12</f>
        <v>16.666666666666668</v>
      </c>
    </row>
    <row r="46" spans="1:10" x14ac:dyDescent="0.25">
      <c r="A46" s="6" t="s">
        <v>32</v>
      </c>
      <c r="B46" s="7">
        <v>0</v>
      </c>
      <c r="C46" s="6"/>
      <c r="D46" s="7">
        <v>0</v>
      </c>
      <c r="E46" s="32">
        <v>0</v>
      </c>
      <c r="F46" s="27">
        <f>B46/12</f>
        <v>0</v>
      </c>
    </row>
    <row r="47" spans="1:10" x14ac:dyDescent="0.25">
      <c r="A47" s="6" t="s">
        <v>33</v>
      </c>
      <c r="B47" s="7">
        <v>20000</v>
      </c>
      <c r="C47" s="8"/>
      <c r="D47" s="7">
        <v>20000</v>
      </c>
      <c r="E47" s="32">
        <v>15291.17</v>
      </c>
      <c r="F47" s="28">
        <f>B47/12</f>
        <v>1666.6666666666667</v>
      </c>
    </row>
    <row r="48" spans="1:10" x14ac:dyDescent="0.25">
      <c r="A48" s="6" t="s">
        <v>34</v>
      </c>
      <c r="B48" s="7">
        <v>40000</v>
      </c>
      <c r="C48" s="6"/>
      <c r="D48" s="7">
        <v>38500</v>
      </c>
      <c r="E48" s="32">
        <v>24417.17</v>
      </c>
      <c r="F48" s="28">
        <f>B48/12</f>
        <v>3333.3333333333335</v>
      </c>
    </row>
    <row r="49" spans="1:6" x14ac:dyDescent="0.25">
      <c r="A49" s="6" t="s">
        <v>35</v>
      </c>
      <c r="B49" s="7">
        <v>1200</v>
      </c>
      <c r="C49" s="8"/>
      <c r="D49" s="7">
        <v>1200</v>
      </c>
      <c r="E49" s="32">
        <v>909.28</v>
      </c>
      <c r="F49" s="28">
        <f>B49/12</f>
        <v>100</v>
      </c>
    </row>
    <row r="50" spans="1:6" x14ac:dyDescent="0.25">
      <c r="A50" s="6" t="s">
        <v>36</v>
      </c>
      <c r="B50" s="7">
        <f>120*12</f>
        <v>1440</v>
      </c>
      <c r="C50" s="6"/>
      <c r="D50" s="7">
        <v>4800</v>
      </c>
      <c r="E50" s="32">
        <v>1827.55</v>
      </c>
      <c r="F50" s="28">
        <f>B50/12</f>
        <v>120</v>
      </c>
    </row>
    <row r="51" spans="1:6" x14ac:dyDescent="0.25">
      <c r="A51" s="6" t="s">
        <v>37</v>
      </c>
      <c r="B51" s="7">
        <v>17500</v>
      </c>
      <c r="C51" s="6"/>
      <c r="D51" s="7">
        <v>25000</v>
      </c>
      <c r="E51" s="32">
        <v>10200.76</v>
      </c>
      <c r="F51" s="28">
        <f>B51/12</f>
        <v>1458.3333333333333</v>
      </c>
    </row>
    <row r="52" spans="1:6" x14ac:dyDescent="0.25">
      <c r="A52" s="6" t="s">
        <v>38</v>
      </c>
      <c r="B52" s="7">
        <v>0</v>
      </c>
      <c r="C52" s="8"/>
      <c r="D52" s="7">
        <v>0</v>
      </c>
      <c r="E52" s="32">
        <v>0</v>
      </c>
      <c r="F52" s="27">
        <f>B52/12</f>
        <v>0</v>
      </c>
    </row>
    <row r="53" spans="1:6" x14ac:dyDescent="0.25">
      <c r="A53" s="6" t="s">
        <v>55</v>
      </c>
      <c r="B53" s="7">
        <v>750</v>
      </c>
      <c r="C53" s="35"/>
      <c r="D53" s="7"/>
      <c r="E53" s="32"/>
      <c r="F53" s="27">
        <f>B53/12</f>
        <v>62.5</v>
      </c>
    </row>
    <row r="54" spans="1:6" x14ac:dyDescent="0.25">
      <c r="A54" s="18" t="s">
        <v>39</v>
      </c>
      <c r="B54" s="11">
        <f>SUM(B25:B53)</f>
        <v>184740</v>
      </c>
      <c r="C54" s="11">
        <f>SUM(C25:C52)</f>
        <v>0</v>
      </c>
      <c r="D54" s="11">
        <f>SUM(D25:D52)</f>
        <v>181818.72999999998</v>
      </c>
      <c r="E54" s="32">
        <v>120541.47</v>
      </c>
    </row>
    <row r="55" spans="1:6" x14ac:dyDescent="0.25">
      <c r="A55" s="19"/>
      <c r="B55" s="20"/>
      <c r="C55" s="6"/>
      <c r="D55" s="20"/>
      <c r="E55" s="32"/>
    </row>
    <row r="56" spans="1:6" x14ac:dyDescent="0.25">
      <c r="A56" s="18" t="s">
        <v>41</v>
      </c>
      <c r="B56" s="21">
        <f>B23-B54</f>
        <v>1774.8279999999504</v>
      </c>
      <c r="C56" s="21">
        <f>C23-C54</f>
        <v>0</v>
      </c>
      <c r="D56" s="21">
        <f>D23-D54</f>
        <v>4944.6223749999772</v>
      </c>
      <c r="E56" s="32">
        <v>18086.61</v>
      </c>
    </row>
    <row r="57" spans="1:6" x14ac:dyDescent="0.25">
      <c r="A57" s="22"/>
    </row>
    <row r="58" spans="1:6" x14ac:dyDescent="0.25">
      <c r="A58" s="22"/>
      <c r="B58" s="23"/>
    </row>
    <row r="59" spans="1:6" x14ac:dyDescent="0.25">
      <c r="A59" s="22"/>
      <c r="B59" s="24"/>
    </row>
    <row r="60" spans="1:6" x14ac:dyDescent="0.25">
      <c r="A60" s="1"/>
      <c r="B60" s="25"/>
    </row>
  </sheetData>
  <mergeCells count="2">
    <mergeCell ref="A1:C1"/>
    <mergeCell ref="A2:C2"/>
  </mergeCells>
  <pageMargins left="0.7" right="0.7" top="0.5" bottom="0.5" header="0.3" footer="0.3"/>
  <pageSetup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B4BF6F-8EF5-49E6-9666-CC250806F81F}">
  <dimension ref="A1:P57"/>
  <sheetViews>
    <sheetView zoomScaleNormal="100" workbookViewId="0">
      <selection activeCell="D55" sqref="D55"/>
    </sheetView>
  </sheetViews>
  <sheetFormatPr defaultColWidth="34.7109375" defaultRowHeight="18" x14ac:dyDescent="0.25"/>
  <cols>
    <col min="1" max="1" width="59.85546875" style="2" customWidth="1"/>
    <col min="2" max="2" width="22.140625" style="2" customWidth="1"/>
    <col min="3" max="3" width="46.5703125" style="2" hidden="1" customWidth="1"/>
    <col min="4" max="16384" width="34.7109375" style="2"/>
  </cols>
  <sheetData>
    <row r="1" spans="1:5" x14ac:dyDescent="0.25">
      <c r="A1" s="33" t="s">
        <v>48</v>
      </c>
      <c r="B1" s="33"/>
      <c r="C1" s="33"/>
    </row>
    <row r="2" spans="1:5" x14ac:dyDescent="0.25">
      <c r="A2" s="34" t="s">
        <v>49</v>
      </c>
      <c r="B2" s="34"/>
      <c r="C2" s="34"/>
      <c r="D2" s="1"/>
    </row>
    <row r="3" spans="1:5" x14ac:dyDescent="0.25">
      <c r="A3" s="3" t="s">
        <v>0</v>
      </c>
      <c r="B3" s="4"/>
      <c r="C3" s="5"/>
    </row>
    <row r="4" spans="1:5" x14ac:dyDescent="0.25">
      <c r="A4" s="6" t="s">
        <v>1</v>
      </c>
      <c r="B4" s="7">
        <f>21625*12</f>
        <v>259500</v>
      </c>
      <c r="C4" s="8"/>
      <c r="E4" s="28">
        <f>B4/12</f>
        <v>21625</v>
      </c>
    </row>
    <row r="5" spans="1:5" x14ac:dyDescent="0.25">
      <c r="A5" s="6" t="s">
        <v>2</v>
      </c>
      <c r="B5" s="7">
        <f>156057.3*0.95</f>
        <v>148254.43499999997</v>
      </c>
      <c r="C5" s="6"/>
      <c r="E5" s="28">
        <f t="shared" ref="E5:E50" si="0">B5/12</f>
        <v>12354.536249999997</v>
      </c>
    </row>
    <row r="6" spans="1:5" x14ac:dyDescent="0.25">
      <c r="A6" s="6" t="s">
        <v>40</v>
      </c>
      <c r="B6" s="7">
        <f>+B5*0.075*-1</f>
        <v>-11119.082624999997</v>
      </c>
      <c r="C6" s="8"/>
      <c r="E6" s="28">
        <f t="shared" si="0"/>
        <v>-926.59021874999974</v>
      </c>
    </row>
    <row r="7" spans="1:5" x14ac:dyDescent="0.25">
      <c r="A7" s="6" t="s">
        <v>3</v>
      </c>
      <c r="B7" s="7">
        <v>277</v>
      </c>
      <c r="C7" s="8"/>
      <c r="E7" s="28">
        <f t="shared" si="0"/>
        <v>23.083333333333332</v>
      </c>
    </row>
    <row r="8" spans="1:5" x14ac:dyDescent="0.25">
      <c r="A8" s="6" t="s">
        <v>43</v>
      </c>
      <c r="B8" s="9">
        <v>500</v>
      </c>
      <c r="C8" s="8"/>
      <c r="E8" s="28">
        <f t="shared" si="0"/>
        <v>41.666666666666664</v>
      </c>
    </row>
    <row r="9" spans="1:5" x14ac:dyDescent="0.25">
      <c r="A9" s="10" t="s">
        <v>4</v>
      </c>
      <c r="B9" s="11">
        <f>SUM(B4:B8)</f>
        <v>397412.35237499996</v>
      </c>
      <c r="C9" s="8"/>
      <c r="E9" s="27">
        <f t="shared" si="0"/>
        <v>33117.696031249994</v>
      </c>
    </row>
    <row r="10" spans="1:5" x14ac:dyDescent="0.25">
      <c r="A10" s="6"/>
      <c r="B10" s="12"/>
      <c r="C10" s="8"/>
      <c r="E10" s="27">
        <f t="shared" si="0"/>
        <v>0</v>
      </c>
    </row>
    <row r="11" spans="1:5" x14ac:dyDescent="0.25">
      <c r="A11" s="13" t="s">
        <v>5</v>
      </c>
      <c r="B11" s="12"/>
      <c r="C11" s="8"/>
      <c r="E11" s="27">
        <f t="shared" si="0"/>
        <v>0</v>
      </c>
    </row>
    <row r="12" spans="1:5" x14ac:dyDescent="0.25">
      <c r="A12" s="6" t="s">
        <v>44</v>
      </c>
      <c r="B12" s="9">
        <v>1200</v>
      </c>
      <c r="C12" s="8"/>
      <c r="E12" s="28">
        <f t="shared" si="0"/>
        <v>100</v>
      </c>
    </row>
    <row r="13" spans="1:5" x14ac:dyDescent="0.25">
      <c r="A13" s="6" t="s">
        <v>6</v>
      </c>
      <c r="B13" s="7">
        <f>17431*12</f>
        <v>209172</v>
      </c>
      <c r="C13" s="8"/>
      <c r="E13" s="28">
        <f t="shared" si="0"/>
        <v>17431</v>
      </c>
    </row>
    <row r="14" spans="1:5" ht="20.25" x14ac:dyDescent="0.4">
      <c r="A14" s="6" t="s">
        <v>7</v>
      </c>
      <c r="B14" s="14">
        <v>5600</v>
      </c>
      <c r="C14" s="8"/>
      <c r="E14" s="28">
        <f t="shared" si="0"/>
        <v>466.66666666666669</v>
      </c>
    </row>
    <row r="15" spans="1:5" x14ac:dyDescent="0.25">
      <c r="A15" s="10" t="s">
        <v>8</v>
      </c>
      <c r="B15" s="11">
        <f>SUM(B12:B14)</f>
        <v>215972</v>
      </c>
      <c r="C15" s="8"/>
      <c r="E15" s="27">
        <f t="shared" si="0"/>
        <v>17997.666666666668</v>
      </c>
    </row>
    <row r="16" spans="1:5" x14ac:dyDescent="0.25">
      <c r="A16" s="6"/>
      <c r="B16" s="12"/>
      <c r="C16" s="8"/>
      <c r="E16" s="27">
        <f t="shared" si="0"/>
        <v>0</v>
      </c>
    </row>
    <row r="17" spans="1:16" x14ac:dyDescent="0.25">
      <c r="A17" s="13" t="s">
        <v>9</v>
      </c>
      <c r="B17" s="12"/>
      <c r="C17" s="8"/>
      <c r="E17" s="27">
        <f t="shared" si="0"/>
        <v>0</v>
      </c>
    </row>
    <row r="18" spans="1:16" x14ac:dyDescent="0.25">
      <c r="A18" s="6" t="s">
        <v>45</v>
      </c>
      <c r="B18" s="9">
        <f>B8-B12</f>
        <v>-700</v>
      </c>
      <c r="C18" s="8"/>
      <c r="E18" s="27">
        <f t="shared" si="0"/>
        <v>-58.333333333333336</v>
      </c>
    </row>
    <row r="19" spans="1:16" x14ac:dyDescent="0.25">
      <c r="A19" s="6" t="s">
        <v>10</v>
      </c>
      <c r="B19" s="7">
        <f>+B4-B13</f>
        <v>50328</v>
      </c>
      <c r="C19" s="8"/>
      <c r="E19" s="27">
        <f t="shared" si="0"/>
        <v>4194</v>
      </c>
    </row>
    <row r="20" spans="1:16" ht="20.25" x14ac:dyDescent="0.4">
      <c r="A20" s="6" t="s">
        <v>11</v>
      </c>
      <c r="B20" s="14">
        <f>+B5+B6</f>
        <v>137135.35237499996</v>
      </c>
      <c r="C20" s="6"/>
      <c r="E20" s="27">
        <f t="shared" si="0"/>
        <v>11427.946031249996</v>
      </c>
    </row>
    <row r="21" spans="1:16" x14ac:dyDescent="0.25">
      <c r="A21" s="10" t="s">
        <v>12</v>
      </c>
      <c r="B21" s="11">
        <f>SUM(B18:B20)</f>
        <v>186763.35237499996</v>
      </c>
      <c r="C21" s="8"/>
      <c r="E21" s="27">
        <f t="shared" si="0"/>
        <v>15563.612697916664</v>
      </c>
    </row>
    <row r="22" spans="1:16" x14ac:dyDescent="0.25">
      <c r="A22" s="6"/>
      <c r="B22" s="12"/>
      <c r="C22" s="8"/>
      <c r="E22" s="27">
        <f t="shared" si="0"/>
        <v>0</v>
      </c>
    </row>
    <row r="23" spans="1:16" ht="58.5" customHeight="1" x14ac:dyDescent="0.25">
      <c r="A23" s="6" t="s">
        <v>47</v>
      </c>
      <c r="B23" s="7">
        <v>12000</v>
      </c>
      <c r="C23" s="26" t="s">
        <v>46</v>
      </c>
      <c r="E23" s="27">
        <f t="shared" si="0"/>
        <v>1000</v>
      </c>
      <c r="O23" s="15"/>
    </row>
    <row r="24" spans="1:16" x14ac:dyDescent="0.25">
      <c r="A24" s="6" t="s">
        <v>13</v>
      </c>
      <c r="B24" s="7">
        <f>365*12</f>
        <v>4380</v>
      </c>
      <c r="C24" s="8"/>
      <c r="D24" s="15"/>
      <c r="E24" s="28">
        <f t="shared" si="0"/>
        <v>365</v>
      </c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</row>
    <row r="25" spans="1:16" x14ac:dyDescent="0.25">
      <c r="A25" s="6" t="s">
        <v>14</v>
      </c>
      <c r="B25" s="7">
        <v>2500</v>
      </c>
      <c r="C25" s="8"/>
      <c r="E25" s="28">
        <f t="shared" si="0"/>
        <v>208.33333333333334</v>
      </c>
    </row>
    <row r="26" spans="1:16" x14ac:dyDescent="0.25">
      <c r="A26" s="6" t="s">
        <v>15</v>
      </c>
      <c r="B26" s="7">
        <v>7500</v>
      </c>
      <c r="C26" s="6"/>
      <c r="D26" s="29">
        <v>44896</v>
      </c>
      <c r="E26" s="28">
        <f t="shared" si="0"/>
        <v>625</v>
      </c>
      <c r="F26" s="2" t="s">
        <v>51</v>
      </c>
    </row>
    <row r="27" spans="1:16" x14ac:dyDescent="0.25">
      <c r="A27" s="6" t="s">
        <v>16</v>
      </c>
      <c r="B27" s="7">
        <v>500</v>
      </c>
      <c r="C27" s="8"/>
      <c r="E27" s="28">
        <f t="shared" si="0"/>
        <v>41.666666666666664</v>
      </c>
    </row>
    <row r="28" spans="1:16" x14ac:dyDescent="0.25">
      <c r="A28" s="6" t="s">
        <v>17</v>
      </c>
      <c r="B28" s="7">
        <v>0</v>
      </c>
      <c r="C28" s="8"/>
      <c r="E28" s="27">
        <f t="shared" si="0"/>
        <v>0</v>
      </c>
    </row>
    <row r="29" spans="1:16" x14ac:dyDescent="0.25">
      <c r="A29" s="6" t="s">
        <v>18</v>
      </c>
      <c r="B29" s="7">
        <v>500</v>
      </c>
      <c r="C29" s="8"/>
      <c r="E29" s="28">
        <f t="shared" si="0"/>
        <v>41.666666666666664</v>
      </c>
    </row>
    <row r="30" spans="1:16" x14ac:dyDescent="0.25">
      <c r="A30" s="6" t="s">
        <v>42</v>
      </c>
      <c r="B30" s="7">
        <v>750</v>
      </c>
      <c r="C30" s="8"/>
      <c r="E30" s="28">
        <f>B30/12</f>
        <v>62.5</v>
      </c>
    </row>
    <row r="31" spans="1:16" ht="20.25" x14ac:dyDescent="0.4">
      <c r="A31" s="6" t="s">
        <v>19</v>
      </c>
      <c r="B31" s="14">
        <f>(12*17)*52</f>
        <v>10608</v>
      </c>
      <c r="C31" s="6"/>
      <c r="E31" s="28">
        <f t="shared" si="0"/>
        <v>884</v>
      </c>
    </row>
    <row r="32" spans="1:16" x14ac:dyDescent="0.25">
      <c r="A32" s="6" t="s">
        <v>20</v>
      </c>
      <c r="B32" s="7">
        <v>4275</v>
      </c>
      <c r="C32" s="8"/>
      <c r="E32" s="28">
        <f t="shared" si="0"/>
        <v>356.25</v>
      </c>
      <c r="I32" s="16"/>
    </row>
    <row r="33" spans="1:9" x14ac:dyDescent="0.25">
      <c r="A33" s="6" t="s">
        <v>21</v>
      </c>
      <c r="B33" s="9">
        <f>360*12</f>
        <v>4320</v>
      </c>
      <c r="C33" s="8"/>
      <c r="E33" s="28">
        <f t="shared" si="0"/>
        <v>360</v>
      </c>
      <c r="I33" s="16"/>
    </row>
    <row r="34" spans="1:9" x14ac:dyDescent="0.25">
      <c r="A34" s="6" t="s">
        <v>22</v>
      </c>
      <c r="B34" s="9">
        <v>600</v>
      </c>
      <c r="C34" s="8"/>
      <c r="E34" s="28">
        <f t="shared" si="0"/>
        <v>50</v>
      </c>
    </row>
    <row r="35" spans="1:9" x14ac:dyDescent="0.25">
      <c r="A35" s="6" t="s">
        <v>23</v>
      </c>
      <c r="B35" s="7">
        <f>34009.13+1456.35</f>
        <v>35465.479999999996</v>
      </c>
      <c r="C35" s="6"/>
      <c r="D35" s="29">
        <v>45017</v>
      </c>
      <c r="E35" s="28">
        <f t="shared" si="0"/>
        <v>2955.4566666666665</v>
      </c>
      <c r="F35" s="2" t="s">
        <v>50</v>
      </c>
    </row>
    <row r="36" spans="1:9" x14ac:dyDescent="0.25">
      <c r="A36" s="6" t="s">
        <v>24</v>
      </c>
      <c r="B36" s="7">
        <v>200</v>
      </c>
      <c r="C36" s="8"/>
      <c r="E36" s="28">
        <f t="shared" si="0"/>
        <v>16.666666666666668</v>
      </c>
    </row>
    <row r="37" spans="1:9" x14ac:dyDescent="0.25">
      <c r="A37" s="6" t="s">
        <v>25</v>
      </c>
      <c r="B37" s="9">
        <v>750</v>
      </c>
      <c r="C37" s="8"/>
      <c r="E37" s="28">
        <f t="shared" si="0"/>
        <v>62.5</v>
      </c>
    </row>
    <row r="38" spans="1:9" x14ac:dyDescent="0.25">
      <c r="A38" s="6" t="s">
        <v>26</v>
      </c>
      <c r="B38" s="9">
        <v>2175</v>
      </c>
      <c r="C38" s="8"/>
      <c r="E38" s="28">
        <f t="shared" si="0"/>
        <v>181.25</v>
      </c>
    </row>
    <row r="39" spans="1:9" x14ac:dyDescent="0.25">
      <c r="A39" s="6" t="s">
        <v>27</v>
      </c>
      <c r="B39" s="7">
        <v>0</v>
      </c>
      <c r="C39" s="6"/>
      <c r="E39" s="27">
        <f t="shared" si="0"/>
        <v>0</v>
      </c>
    </row>
    <row r="40" spans="1:9" x14ac:dyDescent="0.25">
      <c r="A40" s="6" t="s">
        <v>28</v>
      </c>
      <c r="B40" s="7">
        <v>500</v>
      </c>
      <c r="C40" s="8"/>
      <c r="E40" s="28">
        <f t="shared" si="0"/>
        <v>41.666666666666664</v>
      </c>
    </row>
    <row r="41" spans="1:9" x14ac:dyDescent="0.25">
      <c r="A41" s="17" t="s">
        <v>29</v>
      </c>
      <c r="B41" s="7">
        <f>(3200+1000)/2</f>
        <v>2100</v>
      </c>
      <c r="C41" s="8"/>
      <c r="E41" s="28">
        <f t="shared" si="0"/>
        <v>175</v>
      </c>
    </row>
    <row r="42" spans="1:9" x14ac:dyDescent="0.25">
      <c r="A42" s="6" t="s">
        <v>30</v>
      </c>
      <c r="B42" s="7">
        <f>B46*0.0765</f>
        <v>2945.25</v>
      </c>
      <c r="C42" s="6"/>
      <c r="E42" s="28">
        <f t="shared" si="0"/>
        <v>245.4375</v>
      </c>
    </row>
    <row r="43" spans="1:9" x14ac:dyDescent="0.25">
      <c r="A43" s="6" t="s">
        <v>31</v>
      </c>
      <c r="B43" s="7">
        <v>250</v>
      </c>
      <c r="C43" s="8"/>
      <c r="E43" s="28">
        <f>B43/12</f>
        <v>20.833333333333332</v>
      </c>
    </row>
    <row r="44" spans="1:9" x14ac:dyDescent="0.25">
      <c r="A44" s="6" t="s">
        <v>32</v>
      </c>
      <c r="B44" s="7">
        <v>0</v>
      </c>
      <c r="C44" s="6"/>
      <c r="E44" s="27">
        <f t="shared" si="0"/>
        <v>0</v>
      </c>
    </row>
    <row r="45" spans="1:9" x14ac:dyDescent="0.25">
      <c r="A45" s="6" t="s">
        <v>33</v>
      </c>
      <c r="B45" s="7">
        <v>20000</v>
      </c>
      <c r="C45" s="8"/>
      <c r="E45" s="28">
        <f t="shared" si="0"/>
        <v>1666.6666666666667</v>
      </c>
    </row>
    <row r="46" spans="1:9" x14ac:dyDescent="0.25">
      <c r="A46" s="6" t="s">
        <v>34</v>
      </c>
      <c r="B46" s="7">
        <v>38500</v>
      </c>
      <c r="C46" s="6"/>
      <c r="E46" s="28">
        <f t="shared" si="0"/>
        <v>3208.3333333333335</v>
      </c>
    </row>
    <row r="47" spans="1:9" x14ac:dyDescent="0.25">
      <c r="A47" s="6" t="s">
        <v>35</v>
      </c>
      <c r="B47" s="7">
        <v>1200</v>
      </c>
      <c r="C47" s="8"/>
      <c r="E47" s="28">
        <f t="shared" si="0"/>
        <v>100</v>
      </c>
    </row>
    <row r="48" spans="1:9" x14ac:dyDescent="0.25">
      <c r="A48" s="6" t="s">
        <v>36</v>
      </c>
      <c r="B48" s="7">
        <v>4800</v>
      </c>
      <c r="C48" s="6"/>
      <c r="E48" s="28">
        <f>B48/12</f>
        <v>400</v>
      </c>
    </row>
    <row r="49" spans="1:5" x14ac:dyDescent="0.25">
      <c r="A49" s="6" t="s">
        <v>37</v>
      </c>
      <c r="B49" s="7">
        <v>25000</v>
      </c>
      <c r="C49" s="6"/>
      <c r="E49" s="28">
        <f t="shared" si="0"/>
        <v>2083.3333333333335</v>
      </c>
    </row>
    <row r="50" spans="1:5" x14ac:dyDescent="0.25">
      <c r="A50" s="6" t="s">
        <v>38</v>
      </c>
      <c r="B50" s="7">
        <v>0</v>
      </c>
      <c r="C50" s="8"/>
      <c r="E50" s="27">
        <f t="shared" si="0"/>
        <v>0</v>
      </c>
    </row>
    <row r="51" spans="1:5" x14ac:dyDescent="0.25">
      <c r="A51" s="18" t="s">
        <v>39</v>
      </c>
      <c r="B51" s="11">
        <f>SUM(B23:B50)</f>
        <v>181818.72999999998</v>
      </c>
      <c r="C51" s="11">
        <f t="shared" ref="C51:E51" si="1">SUM(C23:C50)</f>
        <v>0</v>
      </c>
      <c r="D51" s="11">
        <f>B51/12</f>
        <v>15151.560833333331</v>
      </c>
      <c r="E51" s="11">
        <f t="shared" si="1"/>
        <v>15151.560833333335</v>
      </c>
    </row>
    <row r="52" spans="1:5" x14ac:dyDescent="0.25">
      <c r="A52" s="19"/>
      <c r="B52" s="20"/>
      <c r="C52" s="6"/>
    </row>
    <row r="53" spans="1:5" x14ac:dyDescent="0.25">
      <c r="A53" s="18" t="s">
        <v>41</v>
      </c>
      <c r="B53" s="21">
        <f>B21-B51</f>
        <v>4944.6223749999772</v>
      </c>
      <c r="C53" s="6"/>
    </row>
    <row r="54" spans="1:5" x14ac:dyDescent="0.25">
      <c r="A54" s="22"/>
    </row>
    <row r="55" spans="1:5" x14ac:dyDescent="0.25">
      <c r="A55" s="22"/>
      <c r="B55" s="23"/>
    </row>
    <row r="56" spans="1:5" x14ac:dyDescent="0.25">
      <c r="A56" s="22"/>
      <c r="B56" s="24"/>
    </row>
    <row r="57" spans="1:5" x14ac:dyDescent="0.25">
      <c r="A57" s="1"/>
      <c r="B57" s="25"/>
    </row>
  </sheetData>
  <mergeCells count="2">
    <mergeCell ref="A1:C1"/>
    <mergeCell ref="A2:C2"/>
  </mergeCells>
  <pageMargins left="0.7" right="0.7" top="0.5" bottom="0.5" header="0.3" footer="0.3"/>
  <pageSetup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Draft 2023-2024</vt:lpstr>
      <vt:lpstr>AMENDED APR 2023</vt:lpstr>
      <vt:lpstr>'AMENDED APR 2023'!Print_Area</vt:lpstr>
      <vt:lpstr>'Draft 2023-2024'!Print_Area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2023-06-27T21:11:40Z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  <property fmtid="{D5CDD505-2E9C-101B-9397-08002B2CF9AE}" pid="3" name="SV_HIDDEN_GRID_QUERY_LIST_4F35BF76-6C0D-4D9B-82B2-816C12CF3733">
    <vt:lpwstr>empty_477D106A-C0D6-4607-AEBD-E2C9D60EA279</vt:lpwstr>
  </property>
</Properties>
</file>